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CE3027BF-A04A-4E85-9E9C-BB305A173A2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Forms, Red, Labels" sheetId="5" state="hidden" r:id="rId1"/>
    <sheet name="Module1" sheetId="18" state="veryHidden" r:id="rId2"/>
    <sheet name="Admin." sheetId="29" r:id="rId3"/>
    <sheet name="Events" sheetId="28" r:id="rId4"/>
    <sheet name="Comm. (2)" sheetId="30" r:id="rId5"/>
    <sheet name="GA(2)" sheetId="31" r:id="rId6"/>
    <sheet name="Education" sheetId="27" r:id="rId7"/>
    <sheet name="Membership" sheetId="24" r:id="rId8"/>
    <sheet name="Other" sheetId="25" r:id="rId9"/>
    <sheet name="Forms, Redbook, Labels, etc." sheetId="26" r:id="rId10"/>
  </sheets>
  <definedNames>
    <definedName name="_xlnm._FilterDatabase" localSheetId="6" hidden="1">Education!$A$94:$Q$128</definedName>
    <definedName name="_xlnm.Print_Area" localSheetId="2">Admin.!$A$1:$E$79</definedName>
    <definedName name="_xlnm.Print_Area" localSheetId="4">'Comm. (2)'!$A$1:$N$49</definedName>
    <definedName name="_xlnm.Print_Area" localSheetId="0">'Forms, Red, Labels'!$A$1:$H$39</definedName>
    <definedName name="_xlnm.Print_Area" localSheetId="9">'Forms, Redbook, Labels, etc.'!$B$1:$AG$34</definedName>
    <definedName name="_xlnm.Recorder" localSheetId="2">#REF!</definedName>
    <definedName name="_xlnm.Recorder" localSheetId="4">#REF!</definedName>
    <definedName name="_xlnm.Recorder" localSheetId="6">#REF!</definedName>
    <definedName name="_xlnm.Recorder" localSheetId="3">#REF!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5" l="1"/>
  <c r="D51" i="29"/>
  <c r="N44" i="29"/>
  <c r="D41" i="29"/>
  <c r="D7" i="29"/>
  <c r="AC8" i="26"/>
  <c r="D58" i="29"/>
  <c r="D56" i="29"/>
  <c r="AC9" i="26" l="1"/>
  <c r="AC4" i="26"/>
  <c r="AC5" i="26"/>
  <c r="Z24" i="26"/>
  <c r="Z14" i="26"/>
  <c r="Z13" i="26"/>
  <c r="Z15" i="26" s="1"/>
  <c r="Y4" i="26"/>
  <c r="Y5" i="26"/>
  <c r="AB24" i="26" l="1"/>
  <c r="AC24" i="26" s="1"/>
  <c r="AC27" i="26" s="1"/>
  <c r="AB22" i="26"/>
  <c r="AB31" i="26" s="1"/>
  <c r="AC21" i="26"/>
  <c r="AB21" i="26"/>
  <c r="AC20" i="26"/>
  <c r="AC22" i="26" s="1"/>
  <c r="AB20" i="26"/>
  <c r="AC14" i="26"/>
  <c r="AC13" i="26"/>
  <c r="AC15" i="26" s="1"/>
  <c r="AB14" i="26"/>
  <c r="AB13" i="26"/>
  <c r="AB15" i="26" s="1"/>
  <c r="AB10" i="26"/>
  <c r="AB9" i="26"/>
  <c r="AB8" i="26"/>
  <c r="AB5" i="26"/>
  <c r="AC6" i="26" s="1"/>
  <c r="AB4" i="26"/>
  <c r="C27" i="25"/>
  <c r="D15" i="29"/>
  <c r="D13" i="29"/>
  <c r="D27" i="29"/>
  <c r="E25" i="29"/>
  <c r="D71" i="29"/>
  <c r="D62" i="29"/>
  <c r="D60" i="29"/>
  <c r="D49" i="29"/>
  <c r="D45" i="29"/>
  <c r="D47" i="29"/>
  <c r="D19" i="29"/>
  <c r="D17" i="29"/>
  <c r="D11" i="29"/>
  <c r="D5" i="29"/>
  <c r="D23" i="29"/>
  <c r="D21" i="29"/>
  <c r="X44" i="29"/>
  <c r="X39" i="29"/>
  <c r="X40" i="29"/>
  <c r="X41" i="29"/>
  <c r="X42" i="29"/>
  <c r="X43" i="29"/>
  <c r="X45" i="29"/>
  <c r="X46" i="29"/>
  <c r="X47" i="29"/>
  <c r="X48" i="29"/>
  <c r="X49" i="29"/>
  <c r="X38" i="29"/>
  <c r="X36" i="29"/>
  <c r="N33" i="29"/>
  <c r="X33" i="29" s="1"/>
  <c r="X34" i="29"/>
  <c r="X35" i="29"/>
  <c r="X27" i="29"/>
  <c r="X28" i="29"/>
  <c r="X29" i="29"/>
  <c r="X30" i="29"/>
  <c r="X31" i="29"/>
  <c r="X32" i="29"/>
  <c r="I34" i="29"/>
  <c r="I33" i="29"/>
  <c r="I32" i="29"/>
  <c r="I31" i="29"/>
  <c r="I27" i="29"/>
  <c r="I28" i="29"/>
  <c r="U48" i="29"/>
  <c r="K44" i="29"/>
  <c r="AC31" i="26" l="1"/>
  <c r="AC10" i="26"/>
  <c r="AC32" i="26" s="1"/>
  <c r="AB27" i="26"/>
  <c r="AB32" i="26" s="1"/>
  <c r="AB6" i="26"/>
  <c r="AC33" i="26" l="1"/>
  <c r="AB33" i="26"/>
  <c r="N127" i="27" l="1"/>
  <c r="AL44" i="28"/>
  <c r="BC14" i="28" l="1"/>
  <c r="I127" i="27" l="1"/>
  <c r="G125" i="27"/>
  <c r="F125" i="27"/>
  <c r="I125" i="27" s="1"/>
  <c r="J125" i="27" s="1"/>
  <c r="P125" i="27" s="1"/>
  <c r="G127" i="27"/>
  <c r="F127" i="27"/>
  <c r="F53" i="27"/>
  <c r="F52" i="27"/>
  <c r="K53" i="27"/>
  <c r="K52" i="27"/>
  <c r="O53" i="27"/>
  <c r="O52" i="27"/>
  <c r="K47" i="27"/>
  <c r="K46" i="27"/>
  <c r="K45" i="27"/>
  <c r="M23" i="30"/>
  <c r="P127" i="27" l="1"/>
  <c r="J127" i="27"/>
  <c r="I100" i="27"/>
  <c r="I97" i="27"/>
  <c r="J97" i="27" s="1"/>
  <c r="P97" i="27" s="1"/>
  <c r="Q97" i="27" l="1"/>
  <c r="J100" i="27"/>
  <c r="P100" i="27" s="1"/>
  <c r="Q100" i="27" s="1"/>
  <c r="I126" i="27"/>
  <c r="J126" i="27" s="1"/>
  <c r="P126" i="27" s="1"/>
  <c r="Q126" i="27" s="1"/>
  <c r="C39" i="28" l="1"/>
  <c r="C38" i="28"/>
  <c r="C30" i="28" l="1"/>
  <c r="C21" i="28"/>
  <c r="C18" i="28"/>
  <c r="C17" i="28"/>
  <c r="O128" i="27"/>
  <c r="L50" i="27"/>
  <c r="M50" i="27"/>
  <c r="N50" i="27"/>
  <c r="O50" i="27"/>
  <c r="J50" i="27"/>
  <c r="I46" i="27"/>
  <c r="I47" i="27"/>
  <c r="I48" i="27"/>
  <c r="I49" i="27"/>
  <c r="P46" i="27"/>
  <c r="P48" i="27"/>
  <c r="P49" i="27"/>
  <c r="P47" i="27"/>
  <c r="P45" i="27"/>
  <c r="J36" i="27"/>
  <c r="Q35" i="27"/>
  <c r="K31" i="27"/>
  <c r="L31" i="27" s="1"/>
  <c r="M31" i="27" s="1"/>
  <c r="N31" i="27" s="1"/>
  <c r="O31" i="27" s="1"/>
  <c r="P31" i="27" s="1"/>
  <c r="P36" i="27" s="1"/>
  <c r="I34" i="27"/>
  <c r="Q34" i="27" s="1"/>
  <c r="I32" i="27"/>
  <c r="Q32" i="27" s="1"/>
  <c r="I33" i="27"/>
  <c r="Q33" i="27" s="1"/>
  <c r="I31" i="27"/>
  <c r="I39" i="27"/>
  <c r="I38" i="27"/>
  <c r="L83" i="27"/>
  <c r="N83" i="27"/>
  <c r="J83" i="27"/>
  <c r="M53" i="27"/>
  <c r="M52" i="27"/>
  <c r="O83" i="27"/>
  <c r="I53" i="27"/>
  <c r="I52" i="27"/>
  <c r="D153" i="27"/>
  <c r="BB49" i="28"/>
  <c r="BB48" i="28"/>
  <c r="BB47" i="28"/>
  <c r="BB46" i="28"/>
  <c r="BB45" i="28"/>
  <c r="BC45" i="28"/>
  <c r="BB44" i="28"/>
  <c r="BB43" i="28"/>
  <c r="BB42" i="28"/>
  <c r="BA15" i="28"/>
  <c r="BA16" i="28"/>
  <c r="M83" i="27" l="1"/>
  <c r="Q31" i="27"/>
  <c r="L36" i="27"/>
  <c r="K83" i="27"/>
  <c r="K36" i="27"/>
  <c r="Q49" i="27"/>
  <c r="I36" i="27"/>
  <c r="Q36" i="27" s="1"/>
  <c r="O36" i="27"/>
  <c r="K50" i="27"/>
  <c r="N36" i="27"/>
  <c r="M36" i="27"/>
  <c r="I83" i="27"/>
  <c r="P53" i="27"/>
  <c r="Q53" i="27" s="1"/>
  <c r="P52" i="27"/>
  <c r="AZ41" i="28"/>
  <c r="BB41" i="28" s="1"/>
  <c r="AZ40" i="28"/>
  <c r="BB40" i="28" s="1"/>
  <c r="AZ39" i="28"/>
  <c r="BB39" i="28" s="1"/>
  <c r="AZ38" i="28"/>
  <c r="BB38" i="28" s="1"/>
  <c r="AZ36" i="28"/>
  <c r="BB36" i="28" s="1"/>
  <c r="BC42" i="28"/>
  <c r="BC41" i="28"/>
  <c r="BC48" i="28"/>
  <c r="BC46" i="28"/>
  <c r="BA47" i="28"/>
  <c r="BC47" i="28" s="1"/>
  <c r="BA40" i="28"/>
  <c r="BC40" i="28" s="1"/>
  <c r="BA39" i="28"/>
  <c r="BC39" i="28" s="1"/>
  <c r="BA38" i="28"/>
  <c r="BC38" i="28" s="1"/>
  <c r="BA36" i="28"/>
  <c r="N128" i="27"/>
  <c r="M128" i="27"/>
  <c r="K128" i="27"/>
  <c r="I124" i="27"/>
  <c r="J124" i="27" s="1"/>
  <c r="P124" i="27" s="1"/>
  <c r="P123" i="27"/>
  <c r="I123" i="27"/>
  <c r="P122" i="27"/>
  <c r="I122" i="27"/>
  <c r="P121" i="27"/>
  <c r="I121" i="27"/>
  <c r="P120" i="27"/>
  <c r="I120" i="27"/>
  <c r="I119" i="27"/>
  <c r="J119" i="27" s="1"/>
  <c r="P119" i="27" s="1"/>
  <c r="P118" i="27"/>
  <c r="I118" i="27"/>
  <c r="P117" i="27"/>
  <c r="I117" i="27"/>
  <c r="P116" i="27"/>
  <c r="I116" i="27"/>
  <c r="P115" i="27"/>
  <c r="I115" i="27"/>
  <c r="P114" i="27"/>
  <c r="I114" i="27"/>
  <c r="P113" i="27"/>
  <c r="I113" i="27"/>
  <c r="P112" i="27"/>
  <c r="I112" i="27"/>
  <c r="P111" i="27"/>
  <c r="I111" i="27"/>
  <c r="P110" i="27"/>
  <c r="I110" i="27"/>
  <c r="I109" i="27"/>
  <c r="J109" i="27" s="1"/>
  <c r="P109" i="27" s="1"/>
  <c r="P108" i="27"/>
  <c r="I108" i="27"/>
  <c r="I107" i="27"/>
  <c r="J107" i="27" s="1"/>
  <c r="P107" i="27" s="1"/>
  <c r="P106" i="27"/>
  <c r="I106" i="27"/>
  <c r="P105" i="27"/>
  <c r="I105" i="27"/>
  <c r="I104" i="27"/>
  <c r="J104" i="27" s="1"/>
  <c r="P104" i="27" s="1"/>
  <c r="P103" i="27"/>
  <c r="I103" i="27"/>
  <c r="P102" i="27"/>
  <c r="I102" i="27"/>
  <c r="I101" i="27"/>
  <c r="J101" i="27" s="1"/>
  <c r="P101" i="27" s="1"/>
  <c r="P99" i="27"/>
  <c r="I99" i="27"/>
  <c r="P98" i="27"/>
  <c r="I98" i="27"/>
  <c r="P96" i="27"/>
  <c r="I96" i="27"/>
  <c r="P95" i="27"/>
  <c r="I95" i="27"/>
  <c r="Q48" i="27"/>
  <c r="Q47" i="27"/>
  <c r="Q46" i="27"/>
  <c r="I45" i="27"/>
  <c r="I50" i="27" s="1"/>
  <c r="P42" i="27"/>
  <c r="Q42" i="27" s="1"/>
  <c r="P41" i="27"/>
  <c r="Q41" i="27" s="1"/>
  <c r="P40" i="27"/>
  <c r="P39" i="27"/>
  <c r="P38" i="27"/>
  <c r="O29" i="27"/>
  <c r="N29" i="27"/>
  <c r="M29" i="27"/>
  <c r="L29" i="27"/>
  <c r="K29" i="27"/>
  <c r="J29" i="27"/>
  <c r="P18" i="27"/>
  <c r="I18" i="27"/>
  <c r="P17" i="27"/>
  <c r="I17" i="27"/>
  <c r="O15" i="27"/>
  <c r="N15" i="27"/>
  <c r="M15" i="27"/>
  <c r="L15" i="27"/>
  <c r="K15" i="27"/>
  <c r="J15" i="27"/>
  <c r="P10" i="27"/>
  <c r="I10" i="27"/>
  <c r="P9" i="27"/>
  <c r="I9" i="27"/>
  <c r="P8" i="27"/>
  <c r="I8" i="27"/>
  <c r="P7" i="27"/>
  <c r="I7" i="27"/>
  <c r="P6" i="27"/>
  <c r="I6" i="27"/>
  <c r="P5" i="27"/>
  <c r="I5" i="27"/>
  <c r="Q117" i="27" l="1"/>
  <c r="Q121" i="27"/>
  <c r="Q111" i="27"/>
  <c r="Q99" i="27"/>
  <c r="Q115" i="27"/>
  <c r="J128" i="27"/>
  <c r="J130" i="27" s="1"/>
  <c r="Q5" i="27"/>
  <c r="Q9" i="27"/>
  <c r="N130" i="27"/>
  <c r="BB53" i="28"/>
  <c r="Q52" i="27"/>
  <c r="Q83" i="27" s="1"/>
  <c r="P83" i="27"/>
  <c r="Q40" i="27"/>
  <c r="Q112" i="27"/>
  <c r="Q116" i="27"/>
  <c r="Q124" i="27"/>
  <c r="Q8" i="27"/>
  <c r="M130" i="27"/>
  <c r="K130" i="27"/>
  <c r="Q10" i="27"/>
  <c r="I29" i="27"/>
  <c r="Q98" i="27"/>
  <c r="Q108" i="27"/>
  <c r="Q105" i="27"/>
  <c r="Q109" i="27"/>
  <c r="Q18" i="27"/>
  <c r="Q45" i="27"/>
  <c r="Q106" i="27"/>
  <c r="P50" i="27"/>
  <c r="Q50" i="27" s="1"/>
  <c r="P29" i="27"/>
  <c r="Q29" i="27" s="1"/>
  <c r="Q103" i="27"/>
  <c r="Q107" i="27"/>
  <c r="Q118" i="27"/>
  <c r="Q122" i="27"/>
  <c r="Q119" i="27"/>
  <c r="Q123" i="27"/>
  <c r="Q39" i="27"/>
  <c r="Q96" i="27"/>
  <c r="Q6" i="27"/>
  <c r="O130" i="27"/>
  <c r="Q102" i="27"/>
  <c r="Q113" i="27"/>
  <c r="Q120" i="27"/>
  <c r="P128" i="27"/>
  <c r="Q7" i="27"/>
  <c r="Q110" i="27"/>
  <c r="Q101" i="27"/>
  <c r="Q114" i="27"/>
  <c r="L128" i="27"/>
  <c r="L130" i="27" s="1"/>
  <c r="I43" i="27"/>
  <c r="P43" i="27"/>
  <c r="I128" i="27"/>
  <c r="Q104" i="27"/>
  <c r="Q38" i="27"/>
  <c r="Q95" i="27"/>
  <c r="I15" i="27"/>
  <c r="P15" i="27"/>
  <c r="Q17" i="27"/>
  <c r="I130" i="27" l="1"/>
  <c r="Q128" i="27"/>
  <c r="P130" i="27"/>
  <c r="Q43" i="27"/>
  <c r="Q15" i="27"/>
  <c r="Q130" i="27" l="1"/>
  <c r="T69" i="28"/>
  <c r="T75" i="28" s="1"/>
  <c r="T67" i="28"/>
  <c r="T66" i="28"/>
  <c r="T68" i="28" s="1"/>
  <c r="T65" i="28"/>
  <c r="T64" i="28"/>
  <c r="T63" i="28"/>
  <c r="T62" i="28"/>
  <c r="T61" i="28"/>
  <c r="T56" i="28"/>
  <c r="T55" i="28"/>
  <c r="T50" i="28"/>
  <c r="T47" i="28"/>
  <c r="T40" i="28"/>
  <c r="T36" i="28"/>
  <c r="BR35" i="28"/>
  <c r="BC36" i="28"/>
  <c r="BC53" i="28" s="1"/>
  <c r="T35" i="28"/>
  <c r="AQ34" i="28"/>
  <c r="T34" i="28"/>
  <c r="T33" i="28"/>
  <c r="T32" i="28"/>
  <c r="C31" i="28"/>
  <c r="BR31" i="28"/>
  <c r="BC32" i="28"/>
  <c r="T31" i="28"/>
  <c r="BR30" i="28"/>
  <c r="BC31" i="28"/>
  <c r="AB30" i="28"/>
  <c r="AB32" i="28" s="1"/>
  <c r="T30" i="28"/>
  <c r="H30" i="28"/>
  <c r="BR29" i="28"/>
  <c r="BM29" i="28"/>
  <c r="BC30" i="28"/>
  <c r="T29" i="28"/>
  <c r="BC29" i="28"/>
  <c r="T28" i="28"/>
  <c r="BM27" i="28"/>
  <c r="BC28" i="28"/>
  <c r="T27" i="28"/>
  <c r="BC27" i="28"/>
  <c r="W26" i="28"/>
  <c r="BC26" i="28"/>
  <c r="W25" i="28"/>
  <c r="BM24" i="28"/>
  <c r="BC25" i="28"/>
  <c r="BM23" i="28"/>
  <c r="BC24" i="28"/>
  <c r="W23" i="28"/>
  <c r="BC23" i="28"/>
  <c r="AE22" i="28"/>
  <c r="AE35" i="28" s="1"/>
  <c r="T22" i="28"/>
  <c r="BC22" i="28"/>
  <c r="AT21" i="28"/>
  <c r="AV21" i="28" s="1"/>
  <c r="AV31" i="28" s="1"/>
  <c r="T21" i="28"/>
  <c r="BM20" i="28"/>
  <c r="BC21" i="28"/>
  <c r="AL20" i="28"/>
  <c r="T20" i="28"/>
  <c r="BM19" i="28"/>
  <c r="BC20" i="28"/>
  <c r="AQ19" i="28"/>
  <c r="AL19" i="28"/>
  <c r="AE19" i="28"/>
  <c r="W19" i="28"/>
  <c r="T19" i="28"/>
  <c r="BC19" i="28"/>
  <c r="AL18" i="28"/>
  <c r="BC18" i="28"/>
  <c r="AL17" i="28"/>
  <c r="BC17" i="28"/>
  <c r="AL16" i="28"/>
  <c r="AE16" i="28"/>
  <c r="T16" i="28"/>
  <c r="BL15" i="28"/>
  <c r="BC16" i="28"/>
  <c r="AE15" i="28"/>
  <c r="T15" i="28"/>
  <c r="M15" i="28"/>
  <c r="BR14" i="28"/>
  <c r="BL14" i="28"/>
  <c r="BC15" i="28"/>
  <c r="AQ14" i="28"/>
  <c r="AE14" i="28"/>
  <c r="T14" i="28"/>
  <c r="H14" i="28"/>
  <c r="BR13" i="28"/>
  <c r="BL13" i="28"/>
  <c r="BC13" i="28"/>
  <c r="AV13" i="28"/>
  <c r="AQ13" i="28"/>
  <c r="AE13" i="28"/>
  <c r="M13" i="28"/>
  <c r="BR12" i="28"/>
  <c r="BC12" i="28"/>
  <c r="AV12" i="28"/>
  <c r="AQ12" i="28"/>
  <c r="AE12" i="28"/>
  <c r="W12" i="28"/>
  <c r="BC11" i="28"/>
  <c r="AV11" i="28"/>
  <c r="AJ11" i="28"/>
  <c r="AE11" i="28"/>
  <c r="W11" i="28"/>
  <c r="T11" i="28"/>
  <c r="BL10" i="28"/>
  <c r="AV10" i="28"/>
  <c r="AE10" i="28"/>
  <c r="AB10" i="28"/>
  <c r="T10" i="28"/>
  <c r="M10" i="28"/>
  <c r="H10" i="28"/>
  <c r="C10" i="28"/>
  <c r="BR9" i="28"/>
  <c r="BL9" i="28"/>
  <c r="AV9" i="28"/>
  <c r="AQ9" i="28"/>
  <c r="AL9" i="28"/>
  <c r="AE9" i="28"/>
  <c r="T9" i="28"/>
  <c r="M9" i="28"/>
  <c r="C9" i="28"/>
  <c r="BL8" i="28"/>
  <c r="BC8" i="28"/>
  <c r="AQ8" i="28"/>
  <c r="AL8" i="28"/>
  <c r="AE8" i="28"/>
  <c r="T8" i="28"/>
  <c r="M8" i="28"/>
  <c r="C8" i="28"/>
  <c r="BL7" i="28"/>
  <c r="BC7" i="28"/>
  <c r="AQ7" i="28"/>
  <c r="AL7" i="28"/>
  <c r="AE7" i="28"/>
  <c r="AB7" i="28"/>
  <c r="W7" i="28"/>
  <c r="T7" i="28"/>
  <c r="H7" i="28"/>
  <c r="BR6" i="28"/>
  <c r="BL6" i="28"/>
  <c r="BC6" i="28"/>
  <c r="AV6" i="28"/>
  <c r="AQ6" i="28"/>
  <c r="AL6" i="28"/>
  <c r="AE6" i="28"/>
  <c r="AB6" i="28"/>
  <c r="W6" i="28"/>
  <c r="T6" i="28"/>
  <c r="H6" i="28"/>
  <c r="BR5" i="28"/>
  <c r="BM5" i="28"/>
  <c r="AV5" i="28"/>
  <c r="AL5" i="28"/>
  <c r="W5" i="28"/>
  <c r="T5" i="28"/>
  <c r="M5" i="28"/>
  <c r="AQ4" i="28"/>
  <c r="AL4" i="28"/>
  <c r="M4" i="28"/>
  <c r="AB8" i="28" l="1"/>
  <c r="T53" i="28"/>
  <c r="M24" i="28"/>
  <c r="W9" i="28"/>
  <c r="W30" i="28"/>
  <c r="AQ15" i="28"/>
  <c r="AQ17" i="28" s="1"/>
  <c r="BR7" i="28"/>
  <c r="AE17" i="28"/>
  <c r="AE20" i="28" s="1"/>
  <c r="AE37" i="28" s="1"/>
  <c r="W13" i="28"/>
  <c r="BM16" i="28"/>
  <c r="BM18" i="28" s="1"/>
  <c r="T59" i="28"/>
  <c r="T37" i="28"/>
  <c r="T12" i="28"/>
  <c r="H8" i="28"/>
  <c r="BC9" i="28"/>
  <c r="M6" i="28"/>
  <c r="M11" i="28" s="1"/>
  <c r="M26" i="28" s="1"/>
  <c r="AQ10" i="28"/>
  <c r="H32" i="28"/>
  <c r="BC33" i="28"/>
  <c r="BM11" i="28"/>
  <c r="AL21" i="28"/>
  <c r="AQ40" i="28"/>
  <c r="BR40" i="28"/>
  <c r="AL11" i="28"/>
  <c r="AV14" i="28"/>
  <c r="AV17" i="28" s="1"/>
  <c r="T17" i="28"/>
  <c r="AV7" i="28"/>
  <c r="C11" i="28"/>
  <c r="BM33" i="28"/>
  <c r="BR26" i="28"/>
  <c r="T23" i="28"/>
  <c r="AL23" i="24"/>
  <c r="AK23" i="24" s="1"/>
  <c r="BB23" i="24"/>
  <c r="BR41" i="28" l="1"/>
  <c r="W15" i="28"/>
  <c r="W32" i="28" s="1"/>
  <c r="BC54" i="28"/>
  <c r="BB33" i="28"/>
  <c r="BB54" i="28" s="1"/>
  <c r="C33" i="28"/>
  <c r="T77" i="28"/>
  <c r="C41" i="28" s="1"/>
  <c r="AV33" i="28"/>
  <c r="T25" i="28"/>
  <c r="BM35" i="28"/>
  <c r="AQ42" i="28"/>
  <c r="AL23" i="28"/>
  <c r="AL46" i="28" s="1"/>
  <c r="AK29" i="24"/>
  <c r="C40" i="28" l="1"/>
  <c r="C42" i="28" s="1"/>
  <c r="T79" i="28"/>
  <c r="C43" i="28" s="1"/>
  <c r="AK22" i="24"/>
  <c r="D12" i="25" l="1"/>
  <c r="D13" i="25"/>
  <c r="M17" i="31" l="1"/>
  <c r="L17" i="31"/>
  <c r="K17" i="31"/>
  <c r="J17" i="31"/>
  <c r="I17" i="31"/>
  <c r="H17" i="31"/>
  <c r="G17" i="31"/>
  <c r="F17" i="31"/>
  <c r="E17" i="31"/>
  <c r="D17" i="31"/>
  <c r="C17" i="31"/>
  <c r="B17" i="31"/>
  <c r="N16" i="31"/>
  <c r="N15" i="31"/>
  <c r="N14" i="31"/>
  <c r="N13" i="31"/>
  <c r="N12" i="31"/>
  <c r="N11" i="31"/>
  <c r="N10" i="31"/>
  <c r="N9" i="31"/>
  <c r="M8" i="31"/>
  <c r="L8" i="31"/>
  <c r="L19" i="31" s="1"/>
  <c r="K8" i="31"/>
  <c r="J8" i="31"/>
  <c r="J19" i="31" s="1"/>
  <c r="I8" i="31"/>
  <c r="I19" i="31" s="1"/>
  <c r="H8" i="31"/>
  <c r="H19" i="31" s="1"/>
  <c r="G8" i="31"/>
  <c r="F8" i="31"/>
  <c r="E8" i="31"/>
  <c r="D8" i="31"/>
  <c r="D19" i="31" s="1"/>
  <c r="C8" i="31"/>
  <c r="B8" i="31"/>
  <c r="B19" i="31" s="1"/>
  <c r="N7" i="31"/>
  <c r="N6" i="31"/>
  <c r="N5" i="31"/>
  <c r="N4" i="31"/>
  <c r="N3" i="31"/>
  <c r="AK51" i="24"/>
  <c r="AK91" i="24"/>
  <c r="AK101" i="24"/>
  <c r="AK75" i="24"/>
  <c r="AK24" i="24"/>
  <c r="AK33" i="24" s="1"/>
  <c r="AK16" i="24"/>
  <c r="G19" i="31" l="1"/>
  <c r="C19" i="31"/>
  <c r="K19" i="31"/>
  <c r="N8" i="31"/>
  <c r="M19" i="31"/>
  <c r="E19" i="31"/>
  <c r="F19" i="31"/>
  <c r="N17" i="31"/>
  <c r="N4" i="30"/>
  <c r="N5" i="30"/>
  <c r="B6" i="30"/>
  <c r="B13" i="30" s="1"/>
  <c r="C6" i="30"/>
  <c r="C13" i="30" s="1"/>
  <c r="D6" i="30"/>
  <c r="D13" i="30" s="1"/>
  <c r="E6" i="30"/>
  <c r="E13" i="30" s="1"/>
  <c r="F6" i="30"/>
  <c r="F13" i="30" s="1"/>
  <c r="G6" i="30"/>
  <c r="G13" i="30" s="1"/>
  <c r="H6" i="30"/>
  <c r="H13" i="30" s="1"/>
  <c r="I6" i="30"/>
  <c r="I13" i="30" s="1"/>
  <c r="J6" i="30"/>
  <c r="J13" i="30" s="1"/>
  <c r="K6" i="30"/>
  <c r="K13" i="30" s="1"/>
  <c r="L6" i="30"/>
  <c r="M6" i="30"/>
  <c r="M13" i="30" s="1"/>
  <c r="N8" i="30"/>
  <c r="N9" i="30"/>
  <c r="S9" i="30"/>
  <c r="N10" i="30"/>
  <c r="N11" i="30"/>
  <c r="N12" i="30"/>
  <c r="L13" i="30"/>
  <c r="N17" i="30"/>
  <c r="F21" i="30"/>
  <c r="M21" i="30"/>
  <c r="M22" i="30"/>
  <c r="F23" i="30"/>
  <c r="F24" i="30"/>
  <c r="F25" i="30"/>
  <c r="M25" i="30"/>
  <c r="F26" i="30"/>
  <c r="M26" i="30"/>
  <c r="F27" i="30"/>
  <c r="F28" i="30"/>
  <c r="F29" i="30"/>
  <c r="M29" i="30"/>
  <c r="F30" i="30"/>
  <c r="M30" i="30"/>
  <c r="F33" i="30"/>
  <c r="M33" i="30"/>
  <c r="F34" i="30"/>
  <c r="M34" i="30"/>
  <c r="F35" i="30"/>
  <c r="M35" i="30"/>
  <c r="F36" i="30"/>
  <c r="M36" i="30"/>
  <c r="F37" i="30"/>
  <c r="M37" i="30"/>
  <c r="M38" i="30"/>
  <c r="M39" i="30"/>
  <c r="M40" i="30"/>
  <c r="F41" i="30"/>
  <c r="M41" i="30"/>
  <c r="F42" i="30"/>
  <c r="F43" i="30"/>
  <c r="AK57" i="24"/>
  <c r="AK56" i="24"/>
  <c r="AK58" i="24" s="1"/>
  <c r="F31" i="30" l="1"/>
  <c r="AK59" i="24"/>
  <c r="AK103" i="24" s="1"/>
  <c r="AK105" i="24" s="1"/>
  <c r="N19" i="31"/>
  <c r="F44" i="30"/>
  <c r="B51" i="30" s="1"/>
  <c r="M31" i="30"/>
  <c r="M44" i="30"/>
  <c r="F46" i="30"/>
  <c r="F47" i="30" s="1"/>
  <c r="N6" i="30"/>
  <c r="M46" i="30" l="1"/>
  <c r="N13" i="30"/>
  <c r="B50" i="30"/>
  <c r="B52" i="30" s="1"/>
  <c r="X5" i="26"/>
  <c r="X4" i="26" l="1"/>
  <c r="AP9" i="24" l="1"/>
  <c r="AQ9" i="24"/>
  <c r="AR9" i="24"/>
  <c r="AS9" i="24"/>
  <c r="AT9" i="24" s="1"/>
  <c r="AP10" i="24"/>
  <c r="AQ10" i="24"/>
  <c r="AR10" i="24"/>
  <c r="AS10" i="24"/>
  <c r="AT10" i="24" l="1"/>
  <c r="AT11" i="24" s="1"/>
  <c r="AF51" i="24"/>
  <c r="AD24" i="24" l="1"/>
  <c r="AV20" i="24"/>
  <c r="AG20" i="24" s="1"/>
  <c r="AG21" i="24"/>
  <c r="AV22" i="24"/>
  <c r="AG22" i="24" s="1"/>
  <c r="AV23" i="24"/>
  <c r="AG23" i="24" s="1"/>
  <c r="AI23" i="24" l="1"/>
  <c r="AW23" i="24"/>
  <c r="AI20" i="24"/>
  <c r="AF24" i="24"/>
  <c r="AF33" i="24" s="1"/>
  <c r="AF105" i="24" s="1"/>
  <c r="AF16" i="24" l="1"/>
  <c r="D33" i="25" l="1"/>
  <c r="T10" i="26" l="1"/>
  <c r="T32" i="26" s="1"/>
  <c r="T6" i="26"/>
  <c r="T31" i="26" s="1"/>
  <c r="W27" i="26"/>
  <c r="W17" i="26"/>
  <c r="W18" i="26"/>
  <c r="W22" i="26" l="1"/>
  <c r="T33" i="26"/>
  <c r="AA14" i="26"/>
  <c r="AA13" i="26"/>
  <c r="AA15" i="26" s="1"/>
  <c r="W10" i="26"/>
  <c r="W6" i="26"/>
  <c r="W14" i="26"/>
  <c r="W13" i="26"/>
  <c r="W15" i="26" s="1"/>
  <c r="W31" i="26" l="1"/>
  <c r="W32" i="26"/>
  <c r="D74" i="29"/>
  <c r="W33" i="26" l="1"/>
  <c r="AG48" i="24"/>
  <c r="AG49" i="24"/>
  <c r="AV51" i="24" l="1"/>
  <c r="AG99" i="24" l="1"/>
  <c r="AG97" i="24"/>
  <c r="AG96" i="24"/>
  <c r="AG88" i="24"/>
  <c r="AG86" i="24"/>
  <c r="AG84" i="24"/>
  <c r="AG82" i="24"/>
  <c r="AG79" i="24"/>
  <c r="AG91" i="24" s="1"/>
  <c r="AG68" i="24"/>
  <c r="AG67" i="24"/>
  <c r="AG66" i="24"/>
  <c r="AG65" i="24"/>
  <c r="AG64" i="24"/>
  <c r="AG31" i="24"/>
  <c r="AG29" i="24"/>
  <c r="AG75" i="24" l="1"/>
  <c r="AG101" i="24"/>
  <c r="AU16" i="24"/>
  <c r="AG102" i="24" l="1"/>
  <c r="E78" i="29"/>
  <c r="D66" i="29"/>
  <c r="E68" i="29" s="1"/>
  <c r="E53" i="29"/>
  <c r="K49" i="29"/>
  <c r="K48" i="29"/>
  <c r="S47" i="29"/>
  <c r="K47" i="29"/>
  <c r="K46" i="29"/>
  <c r="R45" i="29"/>
  <c r="K45" i="29"/>
  <c r="N43" i="29"/>
  <c r="K43" i="29"/>
  <c r="U42" i="29"/>
  <c r="R42" i="29"/>
  <c r="M42" i="29"/>
  <c r="K42" i="29"/>
  <c r="S41" i="29"/>
  <c r="K41" i="29"/>
  <c r="U40" i="29"/>
  <c r="R40" i="29"/>
  <c r="O40" i="29"/>
  <c r="K40" i="29"/>
  <c r="V39" i="29"/>
  <c r="Q39" i="29"/>
  <c r="N39" i="29"/>
  <c r="K39" i="29"/>
  <c r="U38" i="29"/>
  <c r="R38" i="29"/>
  <c r="O38" i="29"/>
  <c r="M38" i="29"/>
  <c r="K38" i="29"/>
  <c r="D37" i="29"/>
  <c r="T36" i="29"/>
  <c r="S36" i="29"/>
  <c r="P36" i="29"/>
  <c r="D35" i="29"/>
  <c r="K34" i="29"/>
  <c r="K33" i="29"/>
  <c r="D33" i="29"/>
  <c r="V32" i="29"/>
  <c r="Q32" i="29"/>
  <c r="N32" i="29"/>
  <c r="K32" i="29"/>
  <c r="U31" i="29"/>
  <c r="R31" i="29"/>
  <c r="O31" i="29"/>
  <c r="M31" i="29"/>
  <c r="K31" i="29"/>
  <c r="V30" i="29"/>
  <c r="Q30" i="29"/>
  <c r="N30" i="29"/>
  <c r="I30" i="29"/>
  <c r="K30" i="29" s="1"/>
  <c r="U29" i="29"/>
  <c r="R29" i="29"/>
  <c r="O29" i="29"/>
  <c r="M29" i="29"/>
  <c r="I29" i="29"/>
  <c r="K29" i="29" s="1"/>
  <c r="V28" i="29"/>
  <c r="Q28" i="29"/>
  <c r="N28" i="29"/>
  <c r="K28" i="29"/>
  <c r="U27" i="29"/>
  <c r="R27" i="29"/>
  <c r="O27" i="29"/>
  <c r="M27" i="29"/>
  <c r="K27" i="29"/>
  <c r="O36" i="29" l="1"/>
  <c r="Q36" i="29"/>
  <c r="R36" i="29"/>
  <c r="K50" i="29"/>
  <c r="D31" i="29" s="1"/>
  <c r="N36" i="29"/>
  <c r="K35" i="29"/>
  <c r="D29" i="29" s="1"/>
  <c r="V36" i="29"/>
  <c r="M36" i="29"/>
  <c r="U36" i="29"/>
  <c r="X50" i="29" l="1"/>
  <c r="E39" i="29"/>
  <c r="E79" i="29" s="1"/>
  <c r="AG50" i="24" l="1"/>
  <c r="AG58" i="24"/>
  <c r="AG57" i="24"/>
  <c r="AL58" i="24" l="1"/>
  <c r="D11" i="25"/>
  <c r="AA22" i="26"/>
  <c r="AA31" i="26" s="1"/>
  <c r="AA27" i="26"/>
  <c r="AA32" i="26" s="1"/>
  <c r="X24" i="26"/>
  <c r="X27" i="26" s="1"/>
  <c r="X21" i="26"/>
  <c r="X20" i="26"/>
  <c r="X18" i="26"/>
  <c r="X14" i="26"/>
  <c r="X13" i="26"/>
  <c r="AA10" i="26"/>
  <c r="X9" i="26"/>
  <c r="X8" i="26"/>
  <c r="Z27" i="26"/>
  <c r="Z22" i="26"/>
  <c r="Z31" i="26" s="1"/>
  <c r="Z10" i="26"/>
  <c r="Z6" i="26"/>
  <c r="T65529" i="26"/>
  <c r="R33" i="26"/>
  <c r="Y27" i="26"/>
  <c r="U27" i="26"/>
  <c r="S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V24" i="26"/>
  <c r="V27" i="26" s="1"/>
  <c r="Y22" i="26"/>
  <c r="Y31" i="26" s="1"/>
  <c r="U22" i="26"/>
  <c r="S22" i="26"/>
  <c r="R22" i="26"/>
  <c r="R29" i="26" s="1"/>
  <c r="Q22" i="26"/>
  <c r="P22" i="26"/>
  <c r="O22" i="26"/>
  <c r="N22" i="26"/>
  <c r="M22" i="26"/>
  <c r="L22" i="26"/>
  <c r="K22" i="26"/>
  <c r="J22" i="26"/>
  <c r="I22" i="26"/>
  <c r="H22" i="26"/>
  <c r="G22" i="26"/>
  <c r="F22" i="26"/>
  <c r="V21" i="26"/>
  <c r="V20" i="26"/>
  <c r="V18" i="26"/>
  <c r="Y14" i="26"/>
  <c r="V14" i="26"/>
  <c r="N14" i="26"/>
  <c r="Y13" i="26"/>
  <c r="V13" i="26"/>
  <c r="N13" i="26"/>
  <c r="Y10" i="26"/>
  <c r="U10" i="26"/>
  <c r="S10" i="26"/>
  <c r="R10" i="26"/>
  <c r="Q10" i="26"/>
  <c r="P10" i="26"/>
  <c r="O10" i="26"/>
  <c r="M10" i="26"/>
  <c r="L10" i="26"/>
  <c r="K10" i="26"/>
  <c r="J10" i="26"/>
  <c r="I10" i="26"/>
  <c r="H10" i="26"/>
  <c r="G10" i="26"/>
  <c r="F10" i="26"/>
  <c r="V9" i="26"/>
  <c r="N9" i="26"/>
  <c r="V8" i="26"/>
  <c r="N8" i="26"/>
  <c r="U6" i="26"/>
  <c r="U31" i="26" s="1"/>
  <c r="S6" i="26"/>
  <c r="R6" i="26"/>
  <c r="Q6" i="26"/>
  <c r="P6" i="26"/>
  <c r="O6" i="26"/>
  <c r="M6" i="26"/>
  <c r="L6" i="26"/>
  <c r="K6" i="26"/>
  <c r="J6" i="26"/>
  <c r="I6" i="26"/>
  <c r="H6" i="26"/>
  <c r="G6" i="26"/>
  <c r="F6" i="26"/>
  <c r="V5" i="26"/>
  <c r="N5" i="26"/>
  <c r="N6" i="26" s="1"/>
  <c r="V4" i="26"/>
  <c r="Y29" i="26" l="1"/>
  <c r="Y32" i="26"/>
  <c r="Z29" i="26"/>
  <c r="Z32" i="26"/>
  <c r="Z33" i="26" s="1"/>
  <c r="Y15" i="26"/>
  <c r="AA5" i="26"/>
  <c r="AA6" i="26" s="1"/>
  <c r="X22" i="26"/>
  <c r="X6" i="26"/>
  <c r="X31" i="26" s="1"/>
  <c r="X10" i="26"/>
  <c r="X32" i="26" s="1"/>
  <c r="P32" i="26"/>
  <c r="S29" i="26"/>
  <c r="U29" i="26"/>
  <c r="Q32" i="26"/>
  <c r="Y6" i="26"/>
  <c r="L31" i="26"/>
  <c r="O32" i="26"/>
  <c r="O31" i="26"/>
  <c r="S31" i="26"/>
  <c r="H32" i="26"/>
  <c r="L32" i="26"/>
  <c r="G32" i="26"/>
  <c r="K32" i="26"/>
  <c r="U32" i="26"/>
  <c r="M32" i="26"/>
  <c r="V10" i="26"/>
  <c r="V32" i="26" s="1"/>
  <c r="H31" i="26"/>
  <c r="F32" i="26"/>
  <c r="J32" i="26"/>
  <c r="S32" i="26"/>
  <c r="I32" i="26"/>
  <c r="G29" i="26"/>
  <c r="K29" i="26"/>
  <c r="O29" i="26"/>
  <c r="I29" i="26"/>
  <c r="J31" i="26"/>
  <c r="V22" i="26"/>
  <c r="M29" i="26"/>
  <c r="Q29" i="26"/>
  <c r="N10" i="26"/>
  <c r="N32" i="26" s="1"/>
  <c r="H29" i="26"/>
  <c r="L29" i="26"/>
  <c r="P29" i="26"/>
  <c r="F31" i="26"/>
  <c r="V6" i="26"/>
  <c r="V31" i="26" s="1"/>
  <c r="G31" i="26"/>
  <c r="K31" i="26"/>
  <c r="K33" i="26" s="1"/>
  <c r="P31" i="26"/>
  <c r="M31" i="26"/>
  <c r="Q31" i="26"/>
  <c r="F29" i="26"/>
  <c r="J29" i="26"/>
  <c r="N29" i="26"/>
  <c r="N31" i="26"/>
  <c r="I31" i="26"/>
  <c r="Q33" i="26" l="1"/>
  <c r="G33" i="26"/>
  <c r="J33" i="26"/>
  <c r="AA33" i="26"/>
  <c r="P33" i="26"/>
  <c r="P65529" i="26" s="1"/>
  <c r="X33" i="26"/>
  <c r="L33" i="26"/>
  <c r="O33" i="26"/>
  <c r="O65529" i="26" s="1"/>
  <c r="U33" i="26"/>
  <c r="V33" i="26"/>
  <c r="S33" i="26"/>
  <c r="S65529" i="26" s="1"/>
  <c r="H33" i="26"/>
  <c r="M33" i="26"/>
  <c r="V29" i="26"/>
  <c r="N33" i="26"/>
  <c r="F33" i="26"/>
  <c r="I33" i="26"/>
  <c r="Y33" i="26"/>
  <c r="D32" i="25" l="1"/>
  <c r="D31" i="25"/>
  <c r="D30" i="25"/>
  <c r="D28" i="25"/>
  <c r="D27" i="25"/>
  <c r="D7" i="25"/>
  <c r="D6" i="25"/>
  <c r="D35" i="25" l="1"/>
  <c r="AE101" i="24" l="1"/>
  <c r="AC101" i="24"/>
  <c r="AB101" i="24"/>
  <c r="AA101" i="24"/>
  <c r="Z101" i="24"/>
  <c r="V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W100" i="24"/>
  <c r="T100" i="24"/>
  <c r="X99" i="24"/>
  <c r="T98" i="24"/>
  <c r="U98" i="24" s="1"/>
  <c r="W98" i="24" s="1"/>
  <c r="T97" i="24"/>
  <c r="U97" i="24" s="1"/>
  <c r="W97" i="24" s="1"/>
  <c r="X96" i="24"/>
  <c r="X95" i="24"/>
  <c r="W95" i="24"/>
  <c r="T95" i="24"/>
  <c r="U95" i="24" s="1"/>
  <c r="AB94" i="24"/>
  <c r="L94" i="24"/>
  <c r="K94" i="24"/>
  <c r="J94" i="24"/>
  <c r="I94" i="24"/>
  <c r="H94" i="24"/>
  <c r="AE91" i="24"/>
  <c r="AB91" i="24"/>
  <c r="V91" i="24"/>
  <c r="S91" i="24"/>
  <c r="R91" i="24"/>
  <c r="Q91" i="24"/>
  <c r="O91" i="24"/>
  <c r="N91" i="24"/>
  <c r="M91" i="24"/>
  <c r="L91" i="24"/>
  <c r="K91" i="24"/>
  <c r="J91" i="24"/>
  <c r="I91" i="24"/>
  <c r="X90" i="24"/>
  <c r="W90" i="24"/>
  <c r="T90" i="24"/>
  <c r="X89" i="24"/>
  <c r="W89" i="24"/>
  <c r="T89" i="24"/>
  <c r="X88" i="24"/>
  <c r="W88" i="24"/>
  <c r="T88" i="24"/>
  <c r="U88" i="24" s="1"/>
  <c r="P88" i="24"/>
  <c r="P91" i="24" s="1"/>
  <c r="X87" i="24"/>
  <c r="W87" i="24"/>
  <c r="T87" i="24"/>
  <c r="X86" i="24"/>
  <c r="W86" i="24"/>
  <c r="T86" i="24"/>
  <c r="U86" i="24" s="1"/>
  <c r="X85" i="24"/>
  <c r="W85" i="24"/>
  <c r="T85" i="24"/>
  <c r="G85" i="24"/>
  <c r="X84" i="24"/>
  <c r="W84" i="24"/>
  <c r="T84" i="24"/>
  <c r="X83" i="24"/>
  <c r="W83" i="24"/>
  <c r="T83" i="24"/>
  <c r="U83" i="24" s="1"/>
  <c r="X82" i="24"/>
  <c r="W82" i="24"/>
  <c r="T82" i="24"/>
  <c r="U82" i="24" s="1"/>
  <c r="X81" i="24"/>
  <c r="W81" i="24"/>
  <c r="T81" i="24"/>
  <c r="U81" i="24" s="1"/>
  <c r="X80" i="24"/>
  <c r="W80" i="24"/>
  <c r="T80" i="24"/>
  <c r="U80" i="24" s="1"/>
  <c r="X79" i="24"/>
  <c r="W79" i="24"/>
  <c r="T79" i="24"/>
  <c r="U79" i="24" s="1"/>
  <c r="X78" i="24"/>
  <c r="W78" i="24"/>
  <c r="T78" i="24"/>
  <c r="U78" i="24" s="1"/>
  <c r="H78" i="24"/>
  <c r="H91" i="24" s="1"/>
  <c r="G78" i="24"/>
  <c r="AB77" i="24"/>
  <c r="L77" i="24"/>
  <c r="K77" i="24"/>
  <c r="J77" i="24"/>
  <c r="I77" i="24"/>
  <c r="H77" i="24"/>
  <c r="AE75" i="24"/>
  <c r="AB75" i="24"/>
  <c r="V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X74" i="24"/>
  <c r="W74" i="24"/>
  <c r="T74" i="24"/>
  <c r="X73" i="24"/>
  <c r="W73" i="24"/>
  <c r="T73" i="24"/>
  <c r="X72" i="24"/>
  <c r="W72" i="24"/>
  <c r="T72" i="24"/>
  <c r="U72" i="24" s="1"/>
  <c r="X71" i="24"/>
  <c r="W71" i="24"/>
  <c r="T71" i="24"/>
  <c r="X70" i="24"/>
  <c r="W70" i="24"/>
  <c r="T70" i="24"/>
  <c r="X69" i="24"/>
  <c r="W69" i="24"/>
  <c r="T69" i="24"/>
  <c r="X68" i="24"/>
  <c r="W68" i="24"/>
  <c r="T68" i="24"/>
  <c r="U68" i="24" s="1"/>
  <c r="X67" i="24"/>
  <c r="W67" i="24"/>
  <c r="T67" i="24"/>
  <c r="X65" i="24"/>
  <c r="W65" i="24"/>
  <c r="T65" i="24"/>
  <c r="U65" i="24" s="1"/>
  <c r="X64" i="24"/>
  <c r="W64" i="24"/>
  <c r="T64" i="24"/>
  <c r="U64" i="24" s="1"/>
  <c r="X63" i="24"/>
  <c r="W63" i="24"/>
  <c r="T63" i="24"/>
  <c r="AB62" i="24"/>
  <c r="L62" i="24"/>
  <c r="K62" i="24"/>
  <c r="J62" i="24"/>
  <c r="I62" i="24"/>
  <c r="H62" i="24"/>
  <c r="AG59" i="24"/>
  <c r="AE58" i="24"/>
  <c r="AB58" i="24"/>
  <c r="Y58" i="24"/>
  <c r="V58" i="24"/>
  <c r="S58" i="24"/>
  <c r="Q58" i="24"/>
  <c r="M58" i="24"/>
  <c r="L58" i="24"/>
  <c r="K58" i="24"/>
  <c r="J58" i="24"/>
  <c r="F58" i="24"/>
  <c r="E58" i="24"/>
  <c r="AE57" i="24"/>
  <c r="AB57" i="24"/>
  <c r="Y57" i="24"/>
  <c r="V57" i="24"/>
  <c r="S57" i="24"/>
  <c r="Q57" i="24"/>
  <c r="M57" i="24"/>
  <c r="L57" i="24"/>
  <c r="K57" i="24"/>
  <c r="J57" i="24"/>
  <c r="G57" i="24"/>
  <c r="G59" i="24" s="1"/>
  <c r="F57" i="24"/>
  <c r="E57" i="24"/>
  <c r="X56" i="24"/>
  <c r="W56" i="24"/>
  <c r="T56" i="24"/>
  <c r="U56" i="24" s="1"/>
  <c r="X55" i="24"/>
  <c r="W55" i="24"/>
  <c r="T55" i="24"/>
  <c r="U55" i="24" s="1"/>
  <c r="AB54" i="24"/>
  <c r="L54" i="24"/>
  <c r="K54" i="24"/>
  <c r="J54" i="24"/>
  <c r="I54" i="24"/>
  <c r="H54" i="24"/>
  <c r="AG51" i="24"/>
  <c r="AL51" i="24" s="1"/>
  <c r="AC51" i="24"/>
  <c r="AA51" i="24"/>
  <c r="Z51" i="24"/>
  <c r="S51" i="24"/>
  <c r="AE50" i="24"/>
  <c r="AB50" i="24"/>
  <c r="Y50" i="24"/>
  <c r="V50" i="24"/>
  <c r="W50" i="24" s="1"/>
  <c r="Q50" i="24"/>
  <c r="M50" i="24"/>
  <c r="L50" i="24"/>
  <c r="K50" i="24"/>
  <c r="J50" i="24"/>
  <c r="F50" i="24"/>
  <c r="E50" i="24"/>
  <c r="AE49" i="24"/>
  <c r="AB49" i="24"/>
  <c r="Y49" i="24"/>
  <c r="V49" i="24"/>
  <c r="X49" i="24" s="1"/>
  <c r="Q49" i="24"/>
  <c r="M49" i="24"/>
  <c r="L49" i="24"/>
  <c r="K49" i="24"/>
  <c r="J49" i="24"/>
  <c r="G49" i="24"/>
  <c r="F49" i="24"/>
  <c r="E49" i="24"/>
  <c r="AE48" i="24"/>
  <c r="AB48" i="24"/>
  <c r="Y48" i="24"/>
  <c r="V48" i="24"/>
  <c r="X48" i="24" s="1"/>
  <c r="Q48" i="24"/>
  <c r="M48" i="24"/>
  <c r="L48" i="24"/>
  <c r="K48" i="24"/>
  <c r="J48" i="24"/>
  <c r="G48" i="24"/>
  <c r="F48" i="24"/>
  <c r="E48" i="24"/>
  <c r="X47" i="24"/>
  <c r="W47" i="24"/>
  <c r="T47" i="24"/>
  <c r="U47" i="24" s="1"/>
  <c r="X46" i="24"/>
  <c r="W46" i="24"/>
  <c r="T46" i="24"/>
  <c r="U46" i="24" s="1"/>
  <c r="X45" i="24"/>
  <c r="W45" i="24"/>
  <c r="T45" i="24"/>
  <c r="U45" i="24" s="1"/>
  <c r="AB44" i="24"/>
  <c r="L44" i="24"/>
  <c r="K44" i="24"/>
  <c r="J44" i="24"/>
  <c r="I44" i="24"/>
  <c r="H44" i="24"/>
  <c r="O41" i="24"/>
  <c r="N41" i="24"/>
  <c r="M41" i="24"/>
  <c r="X32" i="24"/>
  <c r="W32" i="24"/>
  <c r="T32" i="24"/>
  <c r="T31" i="24"/>
  <c r="U31" i="24" s="1"/>
  <c r="AE29" i="24"/>
  <c r="AB29" i="24"/>
  <c r="Y29" i="24"/>
  <c r="V29" i="24"/>
  <c r="S29" i="24"/>
  <c r="R29" i="24"/>
  <c r="Q29" i="24"/>
  <c r="N29" i="24"/>
  <c r="N27" i="24" s="1"/>
  <c r="M29" i="24"/>
  <c r="L29" i="24"/>
  <c r="K29" i="24"/>
  <c r="J29" i="24"/>
  <c r="I29" i="24"/>
  <c r="H29" i="24"/>
  <c r="G29" i="24"/>
  <c r="F29" i="24"/>
  <c r="E29" i="24"/>
  <c r="X28" i="24"/>
  <c r="W28" i="24"/>
  <c r="T28" i="24"/>
  <c r="U28" i="24" s="1"/>
  <c r="X27" i="24"/>
  <c r="W27" i="24"/>
  <c r="T27" i="24"/>
  <c r="U27" i="24" s="1"/>
  <c r="P27" i="24"/>
  <c r="O27" i="24"/>
  <c r="AH24" i="24"/>
  <c r="AH33" i="24" s="1"/>
  <c r="X24" i="24"/>
  <c r="W24" i="24"/>
  <c r="P24" i="24"/>
  <c r="P33" i="24" s="1"/>
  <c r="O24" i="24"/>
  <c r="O33" i="24" s="1"/>
  <c r="N24" i="24"/>
  <c r="I24" i="24"/>
  <c r="H24" i="24"/>
  <c r="Y23" i="24"/>
  <c r="V23" i="24"/>
  <c r="S23" i="24"/>
  <c r="R23" i="24"/>
  <c r="R17" i="24" s="1"/>
  <c r="T17" i="24" s="1"/>
  <c r="U17" i="24" s="1"/>
  <c r="Q23" i="24"/>
  <c r="M23" i="24"/>
  <c r="L23" i="24"/>
  <c r="K23" i="24"/>
  <c r="J23" i="24"/>
  <c r="G23" i="24"/>
  <c r="F23" i="24"/>
  <c r="E23" i="24"/>
  <c r="Y22" i="24"/>
  <c r="V22" i="24"/>
  <c r="S22" i="24"/>
  <c r="R22" i="24"/>
  <c r="R15" i="24" s="1"/>
  <c r="R49" i="24" s="1"/>
  <c r="T49" i="24" s="1"/>
  <c r="U49" i="24" s="1"/>
  <c r="Q22" i="24"/>
  <c r="M22" i="24"/>
  <c r="L22" i="24"/>
  <c r="K22" i="24"/>
  <c r="J22" i="24"/>
  <c r="G22" i="24"/>
  <c r="F22" i="24"/>
  <c r="E22" i="24"/>
  <c r="AE21" i="24"/>
  <c r="Y21" i="24"/>
  <c r="V21" i="24"/>
  <c r="T21" i="24"/>
  <c r="U21" i="24" s="1"/>
  <c r="Q21" i="24"/>
  <c r="M21" i="24"/>
  <c r="L21" i="24"/>
  <c r="K21" i="24"/>
  <c r="J21" i="24"/>
  <c r="G21" i="24"/>
  <c r="F21" i="24"/>
  <c r="E21" i="24"/>
  <c r="AE20" i="24"/>
  <c r="Y20" i="24"/>
  <c r="V20" i="24"/>
  <c r="T20" i="24"/>
  <c r="U20" i="24" s="1"/>
  <c r="Q20" i="24"/>
  <c r="M20" i="24"/>
  <c r="L20" i="24"/>
  <c r="K20" i="24"/>
  <c r="J20" i="24"/>
  <c r="G20" i="24"/>
  <c r="F20" i="24"/>
  <c r="E20" i="24"/>
  <c r="X17" i="24"/>
  <c r="W17" i="24"/>
  <c r="P17" i="24"/>
  <c r="P50" i="24" s="1"/>
  <c r="O17" i="24"/>
  <c r="O58" i="24" s="1"/>
  <c r="N17" i="24"/>
  <c r="N58" i="24" s="1"/>
  <c r="I17" i="24"/>
  <c r="I58" i="24" s="1"/>
  <c r="H17" i="24"/>
  <c r="H50" i="24" s="1"/>
  <c r="AH16" i="24"/>
  <c r="AG16" i="24"/>
  <c r="AE16" i="24"/>
  <c r="AD16" i="24"/>
  <c r="AC16" i="24"/>
  <c r="AB16" i="24"/>
  <c r="Y16" i="24"/>
  <c r="V16" i="24"/>
  <c r="S16" i="24"/>
  <c r="Q16" i="24"/>
  <c r="M16" i="24"/>
  <c r="L16" i="24"/>
  <c r="K16" i="24"/>
  <c r="J16" i="24"/>
  <c r="G16" i="24"/>
  <c r="F16" i="24"/>
  <c r="E16" i="24"/>
  <c r="X15" i="24"/>
  <c r="W15" i="24"/>
  <c r="P15" i="24"/>
  <c r="P57" i="24" s="1"/>
  <c r="O15" i="24"/>
  <c r="O57" i="24" s="1"/>
  <c r="N15" i="24"/>
  <c r="N49" i="24" s="1"/>
  <c r="I15" i="24"/>
  <c r="I49" i="24" s="1"/>
  <c r="H15" i="24"/>
  <c r="H49" i="24" s="1"/>
  <c r="X14" i="24"/>
  <c r="W14" i="24"/>
  <c r="R14" i="24"/>
  <c r="T14" i="24" s="1"/>
  <c r="U14" i="24" s="1"/>
  <c r="P14" i="24"/>
  <c r="O14" i="24"/>
  <c r="N14" i="24"/>
  <c r="I14" i="24"/>
  <c r="H14" i="24"/>
  <c r="X13" i="24"/>
  <c r="W13" i="24"/>
  <c r="R13" i="24"/>
  <c r="P13" i="24"/>
  <c r="O13" i="24"/>
  <c r="N13" i="24"/>
  <c r="N16" i="24" s="1"/>
  <c r="I13" i="24"/>
  <c r="I57" i="24" s="1"/>
  <c r="H13" i="24"/>
  <c r="AC10" i="24"/>
  <c r="AB10" i="24"/>
  <c r="AB23" i="24" s="1"/>
  <c r="X10" i="24"/>
  <c r="W10" i="24"/>
  <c r="T10" i="24"/>
  <c r="U10" i="24" s="1"/>
  <c r="AB9" i="24"/>
  <c r="AB22" i="24" s="1"/>
  <c r="X9" i="24"/>
  <c r="W9" i="24"/>
  <c r="T9" i="24"/>
  <c r="U9" i="24" s="1"/>
  <c r="AB8" i="24"/>
  <c r="AB21" i="24" s="1"/>
  <c r="X8" i="24"/>
  <c r="W8" i="24"/>
  <c r="T8" i="24"/>
  <c r="U8" i="24" s="1"/>
  <c r="AB7" i="24"/>
  <c r="AB20" i="24" s="1"/>
  <c r="X7" i="24"/>
  <c r="W7" i="24"/>
  <c r="T7" i="24"/>
  <c r="U7" i="24" s="1"/>
  <c r="H57" i="24" l="1"/>
  <c r="J24" i="24"/>
  <c r="J31" i="24" s="1"/>
  <c r="AE59" i="24"/>
  <c r="E24" i="24"/>
  <c r="E33" i="24" s="1"/>
  <c r="H33" i="24"/>
  <c r="F51" i="24"/>
  <c r="L59" i="24"/>
  <c r="F24" i="24"/>
  <c r="F33" i="24" s="1"/>
  <c r="S24" i="24"/>
  <c r="S33" i="24" s="1"/>
  <c r="G91" i="24"/>
  <c r="T29" i="24"/>
  <c r="U29" i="24" s="1"/>
  <c r="Q59" i="24"/>
  <c r="T91" i="24"/>
  <c r="U91" i="24" s="1"/>
  <c r="G51" i="24"/>
  <c r="AB51" i="24"/>
  <c r="M59" i="24"/>
  <c r="Y51" i="24"/>
  <c r="E59" i="24"/>
  <c r="S59" i="24"/>
  <c r="S103" i="24" s="1"/>
  <c r="L51" i="24"/>
  <c r="AG103" i="24"/>
  <c r="J51" i="24"/>
  <c r="F59" i="24"/>
  <c r="Q51" i="24"/>
  <c r="Q103" i="24" s="1"/>
  <c r="J59" i="24"/>
  <c r="T101" i="24"/>
  <c r="U101" i="24" s="1"/>
  <c r="W101" i="24" s="1"/>
  <c r="M51" i="24"/>
  <c r="Y59" i="24"/>
  <c r="V24" i="24"/>
  <c r="V33" i="24" s="1"/>
  <c r="T75" i="24"/>
  <c r="U75" i="24" s="1"/>
  <c r="W91" i="24"/>
  <c r="W48" i="24"/>
  <c r="T22" i="24"/>
  <c r="U22" i="24" s="1"/>
  <c r="AU101" i="24"/>
  <c r="R24" i="24"/>
  <c r="R33" i="24" s="1"/>
  <c r="O48" i="24"/>
  <c r="Y24" i="24"/>
  <c r="Y33" i="24" s="1"/>
  <c r="K51" i="24"/>
  <c r="T15" i="24"/>
  <c r="U15" i="24" s="1"/>
  <c r="Q24" i="24"/>
  <c r="Q31" i="24" s="1"/>
  <c r="R16" i="24"/>
  <c r="T16" i="24" s="1"/>
  <c r="U16" i="24" s="1"/>
  <c r="T23" i="24"/>
  <c r="U23" i="24" s="1"/>
  <c r="W57" i="24"/>
  <c r="W58" i="24"/>
  <c r="P48" i="24"/>
  <c r="T13" i="24"/>
  <c r="U13" i="24" s="1"/>
  <c r="X58" i="24"/>
  <c r="X91" i="24"/>
  <c r="W16" i="24"/>
  <c r="G24" i="24"/>
  <c r="G33" i="24" s="1"/>
  <c r="AB59" i="24"/>
  <c r="AE23" i="24"/>
  <c r="X16" i="24"/>
  <c r="K24" i="24"/>
  <c r="K31" i="24" s="1"/>
  <c r="I33" i="24"/>
  <c r="W49" i="24"/>
  <c r="X50" i="24"/>
  <c r="N33" i="24"/>
  <c r="W29" i="24"/>
  <c r="W33" i="24" s="1"/>
  <c r="W75" i="24"/>
  <c r="K59" i="24"/>
  <c r="L24" i="24"/>
  <c r="L31" i="24" s="1"/>
  <c r="M24" i="24"/>
  <c r="M33" i="24" s="1"/>
  <c r="X29" i="24"/>
  <c r="X33" i="24" s="1"/>
  <c r="E51" i="24"/>
  <c r="AE51" i="24"/>
  <c r="AE103" i="24" s="1"/>
  <c r="E31" i="24"/>
  <c r="J33" i="24"/>
  <c r="I59" i="24"/>
  <c r="AB24" i="24"/>
  <c r="I16" i="24"/>
  <c r="N48" i="24"/>
  <c r="R48" i="24"/>
  <c r="P49" i="24"/>
  <c r="O50" i="24"/>
  <c r="N57" i="24"/>
  <c r="R57" i="24"/>
  <c r="H58" i="24"/>
  <c r="H59" i="24" s="1"/>
  <c r="P58" i="24"/>
  <c r="P59" i="24" s="1"/>
  <c r="H16" i="24"/>
  <c r="P16" i="24"/>
  <c r="I48" i="24"/>
  <c r="O49" i="24"/>
  <c r="N50" i="24"/>
  <c r="R50" i="24"/>
  <c r="T50" i="24" s="1"/>
  <c r="U50" i="24" s="1"/>
  <c r="V51" i="24"/>
  <c r="V59" i="24"/>
  <c r="O16" i="24"/>
  <c r="H48" i="24"/>
  <c r="H51" i="24" s="1"/>
  <c r="I50" i="24"/>
  <c r="X57" i="24"/>
  <c r="R58" i="24"/>
  <c r="T58" i="24" s="1"/>
  <c r="U58" i="24" s="1"/>
  <c r="X75" i="24"/>
  <c r="X97" i="24"/>
  <c r="X98" i="24"/>
  <c r="F31" i="24" l="1"/>
  <c r="K33" i="24"/>
  <c r="AB103" i="24"/>
  <c r="T24" i="24"/>
  <c r="U24" i="24" s="1"/>
  <c r="AE22" i="24"/>
  <c r="AE24" i="24" s="1"/>
  <c r="AE33" i="24" s="1"/>
  <c r="AE105" i="24" s="1"/>
  <c r="V31" i="24"/>
  <c r="Y31" i="24"/>
  <c r="P51" i="24"/>
  <c r="P103" i="24" s="1"/>
  <c r="P105" i="24" s="1"/>
  <c r="M31" i="24"/>
  <c r="L33" i="24"/>
  <c r="G31" i="24"/>
  <c r="Q33" i="24"/>
  <c r="Q105" i="24" s="1"/>
  <c r="V103" i="24"/>
  <c r="V105" i="24" s="1"/>
  <c r="X51" i="24"/>
  <c r="W51" i="24"/>
  <c r="T33" i="24"/>
  <c r="U33" i="24" s="1"/>
  <c r="S105" i="24"/>
  <c r="I51" i="24"/>
  <c r="X59" i="24"/>
  <c r="W59" i="24"/>
  <c r="T57" i="24"/>
  <c r="U57" i="24" s="1"/>
  <c r="R59" i="24"/>
  <c r="T59" i="24" s="1"/>
  <c r="U59" i="24" s="1"/>
  <c r="T48" i="24"/>
  <c r="U48" i="24" s="1"/>
  <c r="R51" i="24"/>
  <c r="AB31" i="24"/>
  <c r="AB33" i="24"/>
  <c r="AB105" i="24" l="1"/>
  <c r="X100" i="24"/>
  <c r="X101" i="24" s="1"/>
  <c r="W103" i="24"/>
  <c r="W105" i="24" s="1"/>
  <c r="R103" i="24"/>
  <c r="R105" i="24" s="1"/>
  <c r="T51" i="24"/>
  <c r="U51" i="24" l="1"/>
  <c r="T103" i="24"/>
  <c r="U103" i="24" s="1"/>
  <c r="D5" i="5" l="1"/>
  <c r="B6" i="5"/>
  <c r="C6" i="5"/>
  <c r="F6" i="5" s="1"/>
  <c r="H5" i="5" s="1"/>
  <c r="H19" i="5"/>
  <c r="B28" i="5"/>
  <c r="G29" i="5"/>
  <c r="G30" i="5"/>
  <c r="C8" i="5" l="1"/>
  <c r="G31" i="5"/>
  <c r="F8" i="5"/>
  <c r="C37" i="5"/>
  <c r="H8" i="5"/>
  <c r="B8" i="5"/>
  <c r="D8" i="5" s="1"/>
  <c r="D7" i="5" s="1"/>
  <c r="C35" i="5"/>
  <c r="C39" i="5" s="1"/>
  <c r="B35" i="5"/>
  <c r="F39" i="5" l="1"/>
  <c r="H39" i="5" s="1"/>
  <c r="F40" i="5" l="1"/>
  <c r="AG24" i="24" l="1"/>
  <c r="AG33" i="24" s="1"/>
  <c r="AG105" i="24" s="1"/>
  <c r="AI22" i="24"/>
  <c r="AI24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Accounting</author>
  </authors>
  <commentList>
    <comment ref="N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Guess
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Will be 2015 Projected +Computer Forms Projected + Diff in Forms sales &amp; budgeted
</t>
        </r>
      </text>
    </comment>
    <comment ref="G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287 sold
</t>
        </r>
      </text>
    </comment>
    <comment ref="K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238 sold
</t>
        </r>
      </text>
    </comment>
    <comment ref="N1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250 sold??
</t>
        </r>
      </text>
    </comment>
    <comment ref="N1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based on 250
</t>
        </r>
      </text>
    </comment>
  </commentList>
</comments>
</file>

<file path=xl/sharedStrings.xml><?xml version="1.0" encoding="utf-8"?>
<sst xmlns="http://schemas.openxmlformats.org/spreadsheetml/2006/main" count="1267" uniqueCount="876">
  <si>
    <t xml:space="preserve"> </t>
  </si>
  <si>
    <t>Total Expense</t>
  </si>
  <si>
    <t>Total</t>
  </si>
  <si>
    <t>Total Revenue</t>
  </si>
  <si>
    <t>EXPENSES</t>
  </si>
  <si>
    <t>#</t>
  </si>
  <si>
    <t>TOTALS</t>
  </si>
  <si>
    <t>SUPPLIES</t>
  </si>
  <si>
    <t>TOTAL EXPENSES</t>
  </si>
  <si>
    <t>PRICE</t>
  </si>
  <si>
    <t>TOTAL INCOME</t>
  </si>
  <si>
    <t>TOTAL</t>
  </si>
  <si>
    <t>$ PER BOOTH</t>
  </si>
  <si>
    <t>DIRECTORY</t>
  </si>
  <si>
    <t>FORMS</t>
  </si>
  <si>
    <t>FORM COST %</t>
  </si>
  <si>
    <t>SALES PRICE</t>
  </si>
  <si>
    <t>COST OF BOOKS</t>
  </si>
  <si>
    <t># SOLD</t>
  </si>
  <si>
    <t xml:space="preserve">DELIVERY </t>
  </si>
  <si>
    <t>COSTS</t>
  </si>
  <si>
    <t>REV.</t>
  </si>
  <si>
    <t>Net Profit (Loss)</t>
  </si>
  <si>
    <t>Total Profit or (Loss)</t>
  </si>
  <si>
    <t>Total Income</t>
  </si>
  <si>
    <t>Total Expenses</t>
  </si>
  <si>
    <t>Forms, Redbooks, Labels, etc.</t>
  </si>
  <si>
    <t>MISC.</t>
  </si>
  <si>
    <t>AWARDS</t>
  </si>
  <si>
    <t>TOTAL ADMISSIONS</t>
  </si>
  <si>
    <t>NOTES</t>
  </si>
  <si>
    <t>Unit $</t>
  </si>
  <si>
    <t>TOTAL SPONSORSHIPS</t>
  </si>
  <si>
    <t>Printed</t>
  </si>
  <si>
    <t>Clicks</t>
  </si>
  <si>
    <t>SALES</t>
  </si>
  <si>
    <t>% of totals</t>
  </si>
  <si>
    <t>Total Cost</t>
  </si>
  <si>
    <t># OF UNITS</t>
  </si>
  <si>
    <t>BOOKS</t>
  </si>
  <si>
    <t>Net Profit</t>
  </si>
  <si>
    <t>Other</t>
  </si>
  <si>
    <t>ONLINE</t>
  </si>
  <si>
    <t>SPONSORSHIPS</t>
  </si>
  <si>
    <t>PRINTED LABELS</t>
  </si>
  <si>
    <t>EMAIL BY CATEGORY</t>
  </si>
  <si>
    <t>REDBOOKS</t>
  </si>
  <si>
    <t>DISCOUNTED</t>
  </si>
  <si>
    <t>DISCOUNTED PRICE</t>
  </si>
  <si>
    <t xml:space="preserve">Career Center </t>
  </si>
  <si>
    <t>Royalties</t>
  </si>
  <si>
    <t>CENTER INCOME</t>
  </si>
  <si>
    <t>SPONSORSHIP EXPENSE</t>
  </si>
  <si>
    <t>POSTAGE (plus rate)</t>
  </si>
  <si>
    <t>HANDLING FEE</t>
  </si>
  <si>
    <t>% of Forms Sales</t>
  </si>
  <si>
    <t>SALES ($5 per order)</t>
  </si>
  <si>
    <t xml:space="preserve"> % of Form Cost</t>
  </si>
  <si>
    <t>Total Cost (from TAA)</t>
  </si>
  <si>
    <t>SPEAKER/EMCEE</t>
  </si>
  <si>
    <t>DÉCOR &amp; LINENS</t>
  </si>
  <si>
    <t>GIFTS</t>
  </si>
  <si>
    <t>Helotes Fair Grounds</t>
  </si>
  <si>
    <t>FACILITY RENTAL</t>
  </si>
  <si>
    <t>SECURITY</t>
  </si>
  <si>
    <t>SIGNAGE</t>
  </si>
  <si>
    <t>TROPHIES/AWARDS</t>
  </si>
  <si>
    <t>TOTAL SPONSORSHIPS to SAAA</t>
  </si>
  <si>
    <t>FREIGHT COST</t>
  </si>
  <si>
    <t>% of Clicks Sales</t>
  </si>
  <si>
    <t>NO Charge</t>
  </si>
  <si>
    <t xml:space="preserve"> % of Clicks Cost</t>
  </si>
  <si>
    <t>REDBOOK FREIGHT COST</t>
  </si>
  <si>
    <t># OF BOOTHS</t>
  </si>
  <si>
    <t>SECURITY, EMT, FIRE MARSHALL</t>
  </si>
  <si>
    <t>Player Registration</t>
  </si>
  <si>
    <t>Spectator</t>
  </si>
  <si>
    <t>TOTAL SHOOTER FEES to PAC</t>
  </si>
  <si>
    <t>BGF _ Reserve Transfer</t>
  </si>
  <si>
    <t xml:space="preserve">PAC Registration </t>
  </si>
  <si>
    <t>TOTAL REVENUE to PAC</t>
  </si>
  <si>
    <t>TOTAL FUNDING to SAAA</t>
  </si>
  <si>
    <t>TOTAL INCOME to SAAA</t>
  </si>
  <si>
    <t>$ of Forms Sales</t>
  </si>
  <si>
    <t>$ Forms Rev</t>
  </si>
  <si>
    <t>ENTERTAINMENT</t>
  </si>
  <si>
    <t>Quarterly Income</t>
  </si>
  <si>
    <t>PAC Clay Shoot</t>
  </si>
  <si>
    <t>2014 BUDGET WORKSHEET</t>
  </si>
  <si>
    <t>FACILITY RENTAL (Incl of svc chg &amp; tax)</t>
  </si>
  <si>
    <t>FOOD (Incl of svc chg &amp; tax)</t>
  </si>
  <si>
    <t>BAR/BARTENDER/CASHIER FEE</t>
  </si>
  <si>
    <t>SET-UP (Incl of svc chg &amp; tax)</t>
  </si>
  <si>
    <t>AUDIO/VISUAL</t>
  </si>
  <si>
    <t>HOTEL ROOM (Comp for TAA Pres)</t>
  </si>
  <si>
    <t>TOTAL INCOME:</t>
  </si>
  <si>
    <t>AV/LIGHTING</t>
  </si>
  <si>
    <t>BAR</t>
  </si>
  <si>
    <t>BAR SERVERS</t>
  </si>
  <si>
    <t>CASH CUBE (CASH)</t>
  </si>
  <si>
    <t>BEER</t>
  </si>
  <si>
    <t>FOOD &amp; BEVERAGE</t>
  </si>
  <si>
    <t>CHIP CUP</t>
  </si>
  <si>
    <t>EVENT COMPANY (TABLE GAMES)</t>
  </si>
  <si>
    <t xml:space="preserve">ICE </t>
  </si>
  <si>
    <t>JANITORIAL &amp; PARKING ATTENDANTS</t>
  </si>
  <si>
    <t>KIDS ACTIVITIES</t>
  </si>
  <si>
    <t>KOOZIES</t>
  </si>
  <si>
    <t>SECURITY (Helotes PD)</t>
  </si>
  <si>
    <t>USHERS</t>
  </si>
  <si>
    <t>SODAS &amp; WATER</t>
  </si>
  <si>
    <t>TENT RENTALS</t>
  </si>
  <si>
    <t>TRASH SERVICE/DUMPSTER</t>
  </si>
  <si>
    <t>VENUE RENTAL</t>
  </si>
  <si>
    <t>WRISTBANDS</t>
  </si>
  <si>
    <t>National Shooting Complex</t>
  </si>
  <si>
    <t>PARTICIPANT REGISTRATION</t>
  </si>
  <si>
    <t>PROPERTY MANAGEMENT</t>
  </si>
  <si>
    <t>FACILITY (Food &amp; beverage inclusive)</t>
  </si>
  <si>
    <t>Sponsor Expense</t>
  </si>
  <si>
    <t>Jumbo Craps Sponsor (3 @ $1,250)</t>
  </si>
  <si>
    <t>Money Wheel (2 @ $500)</t>
  </si>
  <si>
    <t>Slot Machines (4 @ $500)</t>
  </si>
  <si>
    <t>EXHIBITOR BOOTHS SINGLES</t>
  </si>
  <si>
    <t>EXHIBITOR BOOTHS NON MEMBERS</t>
  </si>
  <si>
    <t>EXHIBITOR BOOTHS DOUBLES</t>
  </si>
  <si>
    <t>ELECTRIC &amp; WIFI</t>
  </si>
  <si>
    <t>HOST SPONSORSHIP</t>
  </si>
  <si>
    <t>PLATINUM SPONSOR (WINE)</t>
  </si>
  <si>
    <t>GOLD SPONSOR (BEER)</t>
  </si>
  <si>
    <t>ELECTION OF OFFICERS (PIPE, DRAPE, CHAIRS &amp; AV)</t>
  </si>
  <si>
    <t>COURSE SPONSOR</t>
  </si>
  <si>
    <t>MAP DYNAMICS (FLOORPLAN DRAW &amp; 6 MONTH ONLINE LICENSE)</t>
  </si>
  <si>
    <t>Roulette Wheel (5 @$800)</t>
  </si>
  <si>
    <t>HOST EXHIBITOR BOOTH 10X10</t>
  </si>
  <si>
    <t>TOTAL EXHIBITORS</t>
  </si>
  <si>
    <t>Total Sponsorships</t>
  </si>
  <si>
    <t xml:space="preserve">CROWD MANAGEMENT </t>
  </si>
  <si>
    <t>SUPPORTING (UNLIMITED)</t>
  </si>
  <si>
    <t>AWARDS (Cash)</t>
  </si>
  <si>
    <t>AWARDS (Trophies)</t>
  </si>
  <si>
    <t>EMT, Fire Marshall line item</t>
  </si>
  <si>
    <t>(décor, staff shirts, balloons)</t>
  </si>
  <si>
    <t>STAFF</t>
  </si>
  <si>
    <t>3 Card Poker (2 @ $500)</t>
  </si>
  <si>
    <t>PHOTO BOOTH</t>
  </si>
  <si>
    <t>PLAQUES</t>
  </si>
  <si>
    <t>Food Sponsor</t>
  </si>
  <si>
    <t xml:space="preserve">ELECTRIC </t>
  </si>
  <si>
    <t xml:space="preserve">WIFI </t>
  </si>
  <si>
    <t>MUSIC &amp; A/V</t>
  </si>
  <si>
    <t xml:space="preserve">PROMOTION/PRINTING </t>
  </si>
  <si>
    <t>BOOTHS, TABLES, CHAIRS, PIPE &amp; DRAPE, LABOR, TEAR DOWN</t>
  </si>
  <si>
    <t>NAME BADGES / BADGE HOLDERS</t>
  </si>
  <si>
    <t>SIGNAGE / BANNERS</t>
  </si>
  <si>
    <t>MISC. SUPPLIES</t>
  </si>
  <si>
    <t xml:space="preserve">PAC Shoot Fees         </t>
  </si>
  <si>
    <t>HOST SPONSOR</t>
  </si>
  <si>
    <t>AWARD SPONSOR</t>
  </si>
  <si>
    <t>RECEPTION SPONSOR</t>
  </si>
  <si>
    <t>SUPPORTING SPONSOR</t>
  </si>
  <si>
    <t>ONLINE REGISTRATIONS</t>
  </si>
  <si>
    <t>TICKET PRICE</t>
  </si>
  <si>
    <t>TABLE RESERVATION REVENUE</t>
  </si>
  <si>
    <t>COMPED ATTENDEES</t>
  </si>
  <si>
    <t xml:space="preserve">LIVE BAND </t>
  </si>
  <si>
    <t>Presenting Sponsor</t>
  </si>
  <si>
    <t>Break Sponsor</t>
  </si>
  <si>
    <t>Speaker Sponsor</t>
  </si>
  <si>
    <t>Photo Booth Sponsor</t>
  </si>
  <si>
    <t>Swag Bag Sponsor</t>
  </si>
  <si>
    <t>Supporting Sponsor</t>
  </si>
  <si>
    <t>GENERAL SPONSORSHIPS</t>
  </si>
  <si>
    <t>TOTAL GENERAL SPONSORSHIPS</t>
  </si>
  <si>
    <t>MANAGEMENT SPONSORSHIPS</t>
  </si>
  <si>
    <t>Management Company Bronze Sponsor</t>
  </si>
  <si>
    <t>Management Company Silver Sponsor</t>
  </si>
  <si>
    <t>Management Company Gold Sponsor</t>
  </si>
  <si>
    <t>TOTAL MANAGEMENT SPONSORSHIPS</t>
  </si>
  <si>
    <t>ATTENDEE COST</t>
  </si>
  <si>
    <t>Early Bird</t>
  </si>
  <si>
    <t>Early Bird w Mgmt Sponsorship</t>
  </si>
  <si>
    <t>Regular</t>
  </si>
  <si>
    <t>Regular W Mgmt Sponsorship</t>
  </si>
  <si>
    <t>TOTAL ATTENDEE COST</t>
  </si>
  <si>
    <t>A/V Package</t>
  </si>
  <si>
    <t>Microphone</t>
  </si>
  <si>
    <t>Podium</t>
  </si>
  <si>
    <t>Stage</t>
  </si>
  <si>
    <t>Gourmet Boxed Lunch</t>
  </si>
  <si>
    <t>The Cookie Jar</t>
  </si>
  <si>
    <t>Room Setup Fees</t>
  </si>
  <si>
    <t>Sales Tax</t>
  </si>
  <si>
    <t>Service Charge</t>
  </si>
  <si>
    <t>TOTAL VENUE EXPENSE</t>
  </si>
  <si>
    <t>Marketing and Advertising</t>
  </si>
  <si>
    <t>Website</t>
  </si>
  <si>
    <t>Facebook Banner Ads</t>
  </si>
  <si>
    <t>Facebook Post Boost</t>
  </si>
  <si>
    <t>Facebook Event Page</t>
  </si>
  <si>
    <t>Twitter</t>
  </si>
  <si>
    <t>Snapchat</t>
  </si>
  <si>
    <t>Instagram</t>
  </si>
  <si>
    <t>Pinterest</t>
  </si>
  <si>
    <t>Supplies</t>
  </si>
  <si>
    <t>Bookmarks</t>
  </si>
  <si>
    <t>Signage - Popup Banners</t>
  </si>
  <si>
    <t>Signage - Step and Repeat</t>
  </si>
  <si>
    <t>Copyright</t>
  </si>
  <si>
    <t>TOTAL MARKETING AND ADVERTISING</t>
  </si>
  <si>
    <t>Speakers</t>
  </si>
  <si>
    <t>TOTAL SPEAKERS</t>
  </si>
  <si>
    <t>Décor</t>
  </si>
  <si>
    <t>Photo / Video</t>
  </si>
  <si>
    <t>Entertainment - Photobooth</t>
  </si>
  <si>
    <t>T - Shirts</t>
  </si>
  <si>
    <t>DJ</t>
  </si>
  <si>
    <t>Swag Bag</t>
  </si>
  <si>
    <t>Mini Fans</t>
  </si>
  <si>
    <t>Faux Leather Smart Phone Wallet</t>
  </si>
  <si>
    <t>Sunscreen / Lip Balm Combo</t>
  </si>
  <si>
    <t>Hand Sanitizer</t>
  </si>
  <si>
    <t>Eye Glass Cleaner</t>
  </si>
  <si>
    <t>Bag</t>
  </si>
  <si>
    <t>Snack for Bag</t>
  </si>
  <si>
    <t>TOTAL SWAG BAG</t>
  </si>
  <si>
    <t>TOTAL OTHER</t>
  </si>
  <si>
    <t>STAGE &amp; TABLES , CHAIRS FOR ATTENDEES</t>
  </si>
  <si>
    <t>CATERING</t>
  </si>
  <si>
    <t>ADVERTISING &amp; MARKETING</t>
  </si>
  <si>
    <t>HD SUPPLY</t>
  </si>
  <si>
    <t>SALES TAX</t>
  </si>
  <si>
    <t>SET UP FEE</t>
  </si>
  <si>
    <t>CASH BAR</t>
  </si>
  <si>
    <t>Pipe &amp; drape</t>
  </si>
  <si>
    <t>Post Cards / Business Cards</t>
  </si>
  <si>
    <t>Ramstedt Enterprises</t>
  </si>
  <si>
    <t>Courtney Clark &amp; Associates</t>
  </si>
  <si>
    <t>Marcedes Fuller</t>
  </si>
  <si>
    <t>Speaker gifts</t>
  </si>
  <si>
    <t>GAME CARD / MAP SPONSORS</t>
  </si>
  <si>
    <t>EXHIBITOR BOOTHS EARLY COMMITMENTS</t>
  </si>
  <si>
    <t>Supporting (10 @ $100)</t>
  </si>
  <si>
    <t>NAA FEE</t>
  </si>
  <si>
    <t>Casino Night</t>
  </si>
  <si>
    <t>TOTAL PROFIT OR (LOSS)</t>
  </si>
  <si>
    <t xml:space="preserve">Total Expenses </t>
  </si>
  <si>
    <t>EVENT SPONSOR</t>
  </si>
  <si>
    <t>TABLE SPONSOR</t>
  </si>
  <si>
    <t>PARTICIPATION FEE</t>
  </si>
  <si>
    <t>ATTENDEE FEE (walk-in)</t>
  </si>
  <si>
    <t xml:space="preserve">Sponsorships </t>
  </si>
  <si>
    <t xml:space="preserve">Photo Booth (1) </t>
  </si>
  <si>
    <t xml:space="preserve">Cash Cube Sponsor (1 ) </t>
  </si>
  <si>
    <t>SPONSORS</t>
  </si>
  <si>
    <r>
      <t xml:space="preserve">MEDICAL- </t>
    </r>
    <r>
      <rPr>
        <sz val="10"/>
        <color indexed="10"/>
        <rFont val="Arial"/>
        <family val="2"/>
      </rPr>
      <t xml:space="preserve">now included with Security, </t>
    </r>
  </si>
  <si>
    <r>
      <rPr>
        <strike/>
        <sz val="10"/>
        <rFont val="Arial"/>
        <family val="2"/>
      </rPr>
      <t xml:space="preserve">PIPE &amp; DRAPE </t>
    </r>
    <r>
      <rPr>
        <sz val="10"/>
        <rFont val="Arial"/>
        <family val="2"/>
      </rPr>
      <t>CLEANING FACILITY</t>
    </r>
  </si>
  <si>
    <t>Texas Hold Em (2 @ $800)</t>
  </si>
  <si>
    <t>EXHIBITOR PREMIUM BOOTHS</t>
  </si>
  <si>
    <t>SPONSORSHIP EXPENSES (lanyards / paper for game map cards)</t>
  </si>
  <si>
    <t>-</t>
  </si>
  <si>
    <t>TOILETS</t>
  </si>
  <si>
    <t>SHOOTER FEE</t>
  </si>
  <si>
    <t>MEAL (inclusive of lunch &amp; PM snack)</t>
  </si>
  <si>
    <t>BEVERAGE (NA &amp; Alcohol)</t>
  </si>
  <si>
    <t>TROPHIES</t>
  </si>
  <si>
    <t>SUPPLIES &amp; MATERIALS</t>
  </si>
  <si>
    <t>FOOD SPONSOR</t>
  </si>
  <si>
    <t>KID'S ALLEY SPONSOR</t>
  </si>
  <si>
    <t>MAINTENANCE MANIA PARTICIPANTS</t>
  </si>
  <si>
    <t>ATTENDEE FEE (online)</t>
  </si>
  <si>
    <t>Facilities &amp; Equipment Costs:</t>
  </si>
  <si>
    <t>Frequency</t>
  </si>
  <si>
    <t>Amount</t>
  </si>
  <si>
    <t>Budget</t>
  </si>
  <si>
    <t>Building Loan - interest (per amortization schedule)</t>
  </si>
  <si>
    <t>Building &amp; Equipment Repairs (misc repairs)</t>
  </si>
  <si>
    <t>Building / Janitorial Expense</t>
  </si>
  <si>
    <t>Utilities</t>
  </si>
  <si>
    <t>TAA Virtual Classroom</t>
  </si>
  <si>
    <t>TAA Virtual Classroom $49/mo</t>
  </si>
  <si>
    <t>Property/Business Insurance</t>
  </si>
  <si>
    <t>Computer Maintenance</t>
  </si>
  <si>
    <t>Equipment Rental</t>
  </si>
  <si>
    <t>Computer  / Technical support</t>
  </si>
  <si>
    <t>TAA/NAA Delegate Travel</t>
  </si>
  <si>
    <t>Development &amp; Support</t>
  </si>
  <si>
    <t xml:space="preserve">Mileage/Parking Reimbursements </t>
  </si>
  <si>
    <t>per Travel schedule</t>
  </si>
  <si>
    <t>TAA/NAA Staff Travel</t>
  </si>
  <si>
    <t>Staff Dev. Costs (TSAE course, designations)</t>
  </si>
  <si>
    <t xml:space="preserve">Public/Member Relations </t>
  </si>
  <si>
    <t>1 GR Chair Cap Con</t>
  </si>
  <si>
    <t>4 Lyceum to Cap Con</t>
  </si>
  <si>
    <t>Admin Supplies &amp; Service:</t>
  </si>
  <si>
    <r>
      <t xml:space="preserve">Dues &amp; Subscriptions </t>
    </r>
    <r>
      <rPr>
        <sz val="8"/>
        <rFont val="Arial"/>
        <family val="2"/>
      </rPr>
      <t>(Greater Chamber, Bus Coalition, industry lunches &amp; Mayor Breakfast</t>
    </r>
    <r>
      <rPr>
        <sz val="9"/>
        <rFont val="Arial"/>
        <family val="2"/>
      </rPr>
      <t>)</t>
    </r>
  </si>
  <si>
    <t xml:space="preserve">  1 ED TAA</t>
  </si>
  <si>
    <t xml:space="preserve">  1 ED  NAA</t>
  </si>
  <si>
    <t xml:space="preserve">  1 Staff TAA </t>
  </si>
  <si>
    <t>Office Supplies</t>
  </si>
  <si>
    <t xml:space="preserve">  1 Staff NAA Edu RT</t>
  </si>
  <si>
    <t xml:space="preserve"> 2 Staff TAA (GA)</t>
  </si>
  <si>
    <t>Postage</t>
  </si>
  <si>
    <t xml:space="preserve"> 2 Staff SAtoDC</t>
  </si>
  <si>
    <t xml:space="preserve"> 2 GA Roundtable</t>
  </si>
  <si>
    <t>Payroll &amp; Overhead:</t>
  </si>
  <si>
    <t xml:space="preserve">  1 AE Roundtable</t>
  </si>
  <si>
    <t xml:space="preserve">    2 Staff TSAE</t>
  </si>
  <si>
    <t xml:space="preserve">Income Tax Expense </t>
  </si>
  <si>
    <t>D &amp; O Insurance</t>
  </si>
  <si>
    <t>bonus is not guaranted- based on achieving &amp; exceeding budgeted performance and department goals</t>
  </si>
  <si>
    <t>Miscellaneous:</t>
  </si>
  <si>
    <t>Bad Debts</t>
  </si>
  <si>
    <t>Total Overhead</t>
  </si>
  <si>
    <t>Per Frost note amortization schedule 2021</t>
  </si>
  <si>
    <t>Real Property Tax / Personal Property Taxes</t>
  </si>
  <si>
    <t xml:space="preserve">Legal &amp; Professional </t>
  </si>
  <si>
    <t>$1500/qtr attorney retainer, $300/qtr for lobbyist as needed</t>
  </si>
  <si>
    <t xml:space="preserve">Other Personnel Costs </t>
  </si>
  <si>
    <t>$112/mo staff appreciation, $1,000 team building and $1000 year end retreat/luncheon</t>
  </si>
  <si>
    <t>25% burden - ADP fee, tax, W/C, EE benefits with 18% increase medical in June</t>
  </si>
  <si>
    <t xml:space="preserve">Salaries </t>
  </si>
  <si>
    <t>TAAEF Donation Feb (5 year commitment, ends in 2022)</t>
  </si>
  <si>
    <t xml:space="preserve">Bank Charges </t>
  </si>
  <si>
    <r>
      <t xml:space="preserve">Telephone Expense </t>
    </r>
    <r>
      <rPr>
        <b/>
        <sz val="8"/>
        <rFont val="Arial"/>
        <family val="2"/>
      </rPr>
      <t/>
    </r>
  </si>
  <si>
    <r>
      <t>Payroll Taxes/Staff Leasing</t>
    </r>
    <r>
      <rPr>
        <b/>
        <sz val="8"/>
        <rFont val="Arial"/>
        <family val="2"/>
      </rPr>
      <t xml:space="preserve"> </t>
    </r>
  </si>
  <si>
    <r>
      <t xml:space="preserve">Employee Bonus </t>
    </r>
    <r>
      <rPr>
        <b/>
        <sz val="8"/>
        <rFont val="Arial"/>
        <family val="2"/>
      </rPr>
      <t xml:space="preserve">(inclusive of tax burden) </t>
    </r>
  </si>
  <si>
    <t xml:space="preserve">Education Scholarships </t>
  </si>
  <si>
    <t>Scholarships will be paid from the Scholarship Restricted Fund (HD Supply MM) (2 CAM Scholarships @ $850)</t>
  </si>
  <si>
    <t xml:space="preserve">Accounting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</si>
  <si>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</si>
  <si>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</si>
  <si>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</si>
  <si>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</si>
  <si>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</si>
  <si>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</si>
  <si>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</si>
  <si>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</si>
  <si>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</si>
  <si>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</si>
  <si>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</si>
  <si>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</si>
  <si>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BGF Contributions</t>
  </si>
  <si>
    <t>BGF - Other (from Reserve)</t>
  </si>
  <si>
    <t>PAC Business Exchange</t>
  </si>
  <si>
    <t>PAC Appreciation</t>
  </si>
  <si>
    <t>PAC Golf Tournament</t>
  </si>
  <si>
    <t>Public Relations</t>
  </si>
  <si>
    <t>Promotional/marketing</t>
  </si>
  <si>
    <t>Intern</t>
  </si>
  <si>
    <t>Miscellaneous Exp</t>
  </si>
  <si>
    <t>Public Relations Exp</t>
  </si>
  <si>
    <t>Misc. Exp</t>
  </si>
  <si>
    <t>Promotional/Mktg.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</si>
  <si>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</si>
  <si>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</si>
  <si>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</si>
  <si>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</si>
  <si>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</si>
  <si>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</si>
  <si>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Dues/Subscriptions</t>
  </si>
  <si>
    <t>Bus. Coalition lunches monthly</t>
  </si>
  <si>
    <t>Chamber events- monthly</t>
  </si>
  <si>
    <t>$70/$840</t>
  </si>
  <si>
    <t>RGA membership annual</t>
  </si>
  <si>
    <t>Verified</t>
  </si>
  <si>
    <t>Change</t>
  </si>
  <si>
    <t xml:space="preserve">Change </t>
  </si>
  <si>
    <t>Actual</t>
  </si>
  <si>
    <t>Proj Actual</t>
  </si>
  <si>
    <t>%</t>
  </si>
  <si>
    <t>thru 9/30/15</t>
  </si>
  <si>
    <t>Actuals</t>
  </si>
  <si>
    <t>Correction</t>
  </si>
  <si>
    <t>MEMBERSHIP REVENUE</t>
  </si>
  <si>
    <t>as of September 2018</t>
  </si>
  <si>
    <t>Membership Rates:</t>
  </si>
  <si>
    <t>Members</t>
  </si>
  <si>
    <t>Invoiced</t>
  </si>
  <si>
    <t>Adjustment</t>
  </si>
  <si>
    <t>Large Owners/Owner Members</t>
  </si>
  <si>
    <t>owners with 51 or more units</t>
  </si>
  <si>
    <t>Rate</t>
  </si>
  <si>
    <t>Jan</t>
  </si>
  <si>
    <t>Feb</t>
  </si>
  <si>
    <t>Figure</t>
  </si>
  <si>
    <t>Figures</t>
  </si>
  <si>
    <t>IRO (small owner previously)</t>
  </si>
  <si>
    <t>owners with 50 or less units</t>
  </si>
  <si>
    <t>Associate Members</t>
  </si>
  <si>
    <t>Units</t>
  </si>
  <si>
    <t>Member Count:</t>
  </si>
  <si>
    <t>Associate Memberships</t>
  </si>
  <si>
    <t>Total Membership</t>
  </si>
  <si>
    <t>Units - Total</t>
  </si>
  <si>
    <t>as of 8/31/2017</t>
  </si>
  <si>
    <t>IRO</t>
  </si>
  <si>
    <t># of Application</t>
  </si>
  <si>
    <t>Total Application fees</t>
  </si>
  <si>
    <t>Misc. Revenue - Membership</t>
  </si>
  <si>
    <t>TOTAL MEMBERSHIP REVENUE</t>
  </si>
  <si>
    <t xml:space="preserve">Note:  </t>
  </si>
  <si>
    <t>Oct</t>
  </si>
  <si>
    <t>Nov</t>
  </si>
  <si>
    <t>Dec</t>
  </si>
  <si>
    <t>MEMBERSHIP EXPENSES</t>
  </si>
  <si>
    <t>TAA DUES</t>
  </si>
  <si>
    <t>Per Owner (small+large)</t>
  </si>
  <si>
    <t>Per Associate</t>
  </si>
  <si>
    <t>Per unit</t>
  </si>
  <si>
    <t>Owner (small+large)</t>
  </si>
  <si>
    <t>Associate</t>
  </si>
  <si>
    <t>Unit</t>
  </si>
  <si>
    <t>NAA</t>
  </si>
  <si>
    <t>Per Unit</t>
  </si>
  <si>
    <t>Member</t>
  </si>
  <si>
    <t>Recruitment</t>
  </si>
  <si>
    <t>"Admit Two" Coupons</t>
  </si>
  <si>
    <t>Folders/Member Packets</t>
  </si>
  <si>
    <t>Membership Drvie</t>
  </si>
  <si>
    <t>(Membership)</t>
  </si>
  <si>
    <t>Membership Drive - kickoff</t>
  </si>
  <si>
    <t>New Member Apps.</t>
  </si>
  <si>
    <t>Ribbons &amp; Patches</t>
  </si>
  <si>
    <t>SA Business Journal ad</t>
  </si>
  <si>
    <t>Prospective Mem Brochure</t>
  </si>
  <si>
    <t xml:space="preserve">   Group total</t>
  </si>
  <si>
    <t>Retention</t>
  </si>
  <si>
    <t>Membership Applications</t>
  </si>
  <si>
    <t>Membership Stickers</t>
  </si>
  <si>
    <t>Diamond Sponsor photos</t>
  </si>
  <si>
    <t>Ambassador giveaways</t>
  </si>
  <si>
    <t>Ambassador Mtgs/incentives</t>
  </si>
  <si>
    <t>Membership CMT mtg</t>
  </si>
  <si>
    <t>New Mem Fall Mixers</t>
  </si>
  <si>
    <t>Welcome Committee Incentives</t>
  </si>
  <si>
    <t>New Mem Orientations</t>
  </si>
  <si>
    <t xml:space="preserve">   Group total actual</t>
  </si>
  <si>
    <t>Marketing</t>
  </si>
  <si>
    <t>Marketing/Awards</t>
  </si>
  <si>
    <t>Scroll Pens</t>
  </si>
  <si>
    <t>Lunch/Dinners Members</t>
  </si>
  <si>
    <t>Luncheons (referral program)</t>
  </si>
  <si>
    <t>IRO Presentations / Breakfast</t>
  </si>
  <si>
    <t>New to SA free mixer tickets</t>
  </si>
  <si>
    <t>Gain / Loss</t>
  </si>
  <si>
    <t>MAGAZINE</t>
  </si>
  <si>
    <t>RESIDENCE</t>
  </si>
  <si>
    <t xml:space="preserve">Full page </t>
  </si>
  <si>
    <t xml:space="preserve">Half oage </t>
  </si>
  <si>
    <r>
      <t xml:space="preserve">TOTAL INCOME </t>
    </r>
    <r>
      <rPr>
        <b/>
        <sz val="11"/>
        <color rgb="FF00B0F0"/>
        <rFont val="Calibri"/>
        <family val="2"/>
        <scheme val="minor"/>
      </rPr>
      <t>(Magazine Revenue)</t>
    </r>
  </si>
  <si>
    <t>Quarter page</t>
  </si>
  <si>
    <t xml:space="preserve">Classified </t>
  </si>
  <si>
    <r>
      <t xml:space="preserve">Digital cost - Joomag </t>
    </r>
    <r>
      <rPr>
        <sz val="10"/>
        <color rgb="FF00B0F0"/>
        <rFont val="Arial"/>
        <family val="2"/>
      </rPr>
      <t>(Magazine Cost)</t>
    </r>
  </si>
  <si>
    <t>Graphics</t>
  </si>
  <si>
    <t>WEBSITE Banner Advertising (10)</t>
  </si>
  <si>
    <t>OTHER PUBLICATION REVENUE</t>
  </si>
  <si>
    <t>Digital banner</t>
  </si>
  <si>
    <t>Inside Front Cover</t>
  </si>
  <si>
    <t>Weekly News Ad (4 per month)</t>
  </si>
  <si>
    <t>Tabs - front side</t>
  </si>
  <si>
    <t>Tabs - back side</t>
  </si>
  <si>
    <t>Full page ads - front section (premium placement)</t>
  </si>
  <si>
    <t>Full page ads - Buyer's Guide Section</t>
  </si>
  <si>
    <t>Half page ads - Buyer's Guide Section</t>
  </si>
  <si>
    <t>Quarter page ads - Buyer's Guide Section</t>
  </si>
  <si>
    <t>Additional Listings</t>
  </si>
  <si>
    <r>
      <t xml:space="preserve">Total Income </t>
    </r>
    <r>
      <rPr>
        <b/>
        <sz val="10"/>
        <color rgb="FF00B0F0"/>
        <rFont val="Arial"/>
        <family val="2"/>
      </rPr>
      <t>(Directory Revenue)</t>
    </r>
  </si>
  <si>
    <t xml:space="preserve">OTHER COMMUNICATION EXPENSES </t>
  </si>
  <si>
    <t xml:space="preserve">Nxtbook Media Annual Expense </t>
  </si>
  <si>
    <t>Email software (Constant Contact)</t>
  </si>
  <si>
    <r>
      <t xml:space="preserve">Total Expenses </t>
    </r>
    <r>
      <rPr>
        <sz val="11"/>
        <color rgb="FF00B0F0"/>
        <rFont val="Calibri"/>
        <family val="2"/>
        <scheme val="minor"/>
      </rPr>
      <t>(Directory Cost)</t>
    </r>
  </si>
  <si>
    <r>
      <t xml:space="preserve">Total Expenses </t>
    </r>
    <r>
      <rPr>
        <sz val="11"/>
        <color rgb="FF00B0F0"/>
        <rFont val="Calibri"/>
        <family val="2"/>
        <scheme val="minor"/>
      </rPr>
      <t>(Software License)</t>
    </r>
  </si>
  <si>
    <t xml:space="preserve">Office Supplies </t>
  </si>
  <si>
    <t>INCOME</t>
  </si>
  <si>
    <t>COMMITTEES</t>
  </si>
  <si>
    <t>Income</t>
  </si>
  <si>
    <t>Expense</t>
  </si>
  <si>
    <t>Net</t>
  </si>
  <si>
    <t>Community Relations</t>
  </si>
  <si>
    <t>Public Affairs</t>
  </si>
  <si>
    <t xml:space="preserve"> * no budget for Public Affairs or Community Relations</t>
  </si>
  <si>
    <t>Misc Income</t>
  </si>
  <si>
    <t>Months</t>
  </si>
  <si>
    <t>@</t>
  </si>
  <si>
    <t>Misc</t>
  </si>
  <si>
    <t>Billing Fees</t>
  </si>
  <si>
    <t>Full Day</t>
  </si>
  <si>
    <t>1/2 Day</t>
  </si>
  <si>
    <t xml:space="preserve">   ETC @ $250 / $110</t>
  </si>
  <si>
    <t>Education Center/Room Rental</t>
  </si>
  <si>
    <t>Misc Expenses</t>
  </si>
  <si>
    <t>Count</t>
  </si>
  <si>
    <t>Compensation Survey (Owner/Management)</t>
  </si>
  <si>
    <t>Inst. Appreciation Dinner</t>
  </si>
  <si>
    <t>Leadership Lyceum</t>
  </si>
  <si>
    <t>Train the Trainer</t>
  </si>
  <si>
    <t>Board of Directors badges</t>
  </si>
  <si>
    <t>(January)</t>
  </si>
  <si>
    <t>Board of Directors year end mtg</t>
  </si>
  <si>
    <t>President's Club Reception</t>
  </si>
  <si>
    <t>Strategic Planning</t>
  </si>
  <si>
    <t>Notes:</t>
  </si>
  <si>
    <r>
      <t xml:space="preserve">Postage </t>
    </r>
    <r>
      <rPr>
        <b/>
        <sz val="8"/>
        <rFont val="Arial"/>
        <family val="2"/>
      </rPr>
      <t xml:space="preserve"> </t>
    </r>
  </si>
  <si>
    <t>all department postage to G&amp;A</t>
  </si>
  <si>
    <t xml:space="preserve">NAAEI Donation $25,000 </t>
  </si>
  <si>
    <t>5 year commitment, ends in 2020</t>
  </si>
  <si>
    <t xml:space="preserve">BISIO (Business Insurance Solutions, Inc.) Oct. </t>
  </si>
  <si>
    <t xml:space="preserve">Actual </t>
  </si>
  <si>
    <t>As of 07/2019</t>
  </si>
  <si>
    <t>Projected</t>
  </si>
  <si>
    <t>Taxable Forms Sales</t>
  </si>
  <si>
    <t>Click &amp; Lease Revenue Share</t>
  </si>
  <si>
    <t>Form &amp; Click Sales</t>
  </si>
  <si>
    <t>Handling</t>
  </si>
  <si>
    <t>Form &amp; Click Costs</t>
  </si>
  <si>
    <t>Redbook Sales</t>
  </si>
  <si>
    <t>Redbook Costs</t>
  </si>
  <si>
    <t>Directory Sales</t>
  </si>
  <si>
    <t>Compensation Survey Report</t>
  </si>
  <si>
    <t>Delivery Charges</t>
  </si>
  <si>
    <t>Career Center</t>
  </si>
  <si>
    <t>Rev Other Sales</t>
  </si>
  <si>
    <t>Delivery Costs</t>
  </si>
  <si>
    <t>Freight</t>
  </si>
  <si>
    <t>Exp Other Sales</t>
  </si>
  <si>
    <t>Profit / Loss Other Sales</t>
  </si>
  <si>
    <t>TOTAL REV</t>
  </si>
  <si>
    <t>TOTAL EXP</t>
  </si>
  <si>
    <t>Did not budget for 2020</t>
  </si>
  <si>
    <t>2015 Actual Revenue</t>
  </si>
  <si>
    <t>DESCRIPTION</t>
  </si>
  <si>
    <t># People</t>
  </si>
  <si>
    <t>Reg Price</t>
  </si>
  <si>
    <t>PEP Price</t>
  </si>
  <si>
    <t>Sponsor</t>
  </si>
  <si>
    <t>Instructor</t>
  </si>
  <si>
    <t>Food</t>
  </si>
  <si>
    <t>Promotional</t>
  </si>
  <si>
    <t>Materials</t>
  </si>
  <si>
    <t>NET</t>
  </si>
  <si>
    <t>Advanced Leasing</t>
  </si>
  <si>
    <t>Leasing 101</t>
  </si>
  <si>
    <t>April</t>
  </si>
  <si>
    <t>July</t>
  </si>
  <si>
    <t>September</t>
  </si>
  <si>
    <t>October</t>
  </si>
  <si>
    <t>January</t>
  </si>
  <si>
    <t>CAM</t>
  </si>
  <si>
    <t>CAPS</t>
  </si>
  <si>
    <t>CAS</t>
  </si>
  <si>
    <t>CAMT</t>
  </si>
  <si>
    <t>PEP</t>
  </si>
  <si>
    <t>February</t>
  </si>
  <si>
    <t>Session I</t>
  </si>
  <si>
    <t>March</t>
  </si>
  <si>
    <t>May</t>
  </si>
  <si>
    <t>Fair Housing</t>
  </si>
  <si>
    <t>Fall Fair Housing</t>
  </si>
  <si>
    <t>free</t>
  </si>
  <si>
    <t>Legal</t>
  </si>
  <si>
    <t>new</t>
  </si>
  <si>
    <t>Protesting Property Taxes (IRO)</t>
  </si>
  <si>
    <t>June</t>
  </si>
  <si>
    <t>Leasing for Affordable Properties</t>
  </si>
  <si>
    <t>HVAC Changes (IRO)</t>
  </si>
  <si>
    <t>Legalease</t>
  </si>
  <si>
    <t>August</t>
  </si>
  <si>
    <t>Compliance for Affordable</t>
  </si>
  <si>
    <t>Budget Boot Camp</t>
  </si>
  <si>
    <t>November</t>
  </si>
  <si>
    <t>Personal Development</t>
  </si>
  <si>
    <t>Legal Updates</t>
  </si>
  <si>
    <t>EMT</t>
  </si>
  <si>
    <t>Maintenance Boot Camp</t>
  </si>
  <si>
    <t>Certified Pool Operator</t>
  </si>
  <si>
    <t>Fair Housing for Maintenance</t>
  </si>
  <si>
    <t>Outreach Marketing</t>
  </si>
  <si>
    <t>Cost of Forms Sold</t>
  </si>
  <si>
    <t>Directory Cost</t>
  </si>
  <si>
    <t>1 AE Brainstorming</t>
  </si>
  <si>
    <t xml:space="preserve">March </t>
  </si>
  <si>
    <t xml:space="preserve">April </t>
  </si>
  <si>
    <t xml:space="preserve">August </t>
  </si>
  <si>
    <t xml:space="preserve">September </t>
  </si>
  <si>
    <t>December</t>
  </si>
  <si>
    <t>NAA Delegates</t>
  </si>
  <si>
    <t xml:space="preserve"> 1 President TAA (Delegate)</t>
  </si>
  <si>
    <t xml:space="preserve"> 1 President NAA (Delegate)</t>
  </si>
  <si>
    <t xml:space="preserve"> 1 TAA Lyceum (Delegate)</t>
  </si>
  <si>
    <t xml:space="preserve"> 1 NAA Lyceum (Delegate</t>
  </si>
  <si>
    <t xml:space="preserve">$200/mo </t>
  </si>
  <si>
    <t xml:space="preserve">Conference Room Rental </t>
  </si>
  <si>
    <t>Type</t>
  </si>
  <si>
    <t>Month</t>
  </si>
  <si>
    <t>CERTIFICATIONS</t>
  </si>
  <si>
    <t>CERTIFICATIONS TOTALS</t>
  </si>
  <si>
    <t>NAAEI</t>
  </si>
  <si>
    <t>NAAEI TOTALS</t>
  </si>
  <si>
    <t>EDUCATION ROYALTIES (TAA &amp; NAA)</t>
  </si>
  <si>
    <t>LEADERSHIP LYCEUM</t>
  </si>
  <si>
    <t>Association 101</t>
  </si>
  <si>
    <t>Advocacy</t>
  </si>
  <si>
    <t>Putting it All Together</t>
  </si>
  <si>
    <t>Plaque Expense</t>
  </si>
  <si>
    <t>REDBOOK</t>
  </si>
  <si>
    <t>REDBOOK TOTALS</t>
  </si>
  <si>
    <t>SEMINARS</t>
  </si>
  <si>
    <t>SEMINAR TOTALS</t>
  </si>
  <si>
    <t>PAC Golf Fees</t>
  </si>
  <si>
    <t>Players</t>
  </si>
  <si>
    <t>Mulligans</t>
  </si>
  <si>
    <t>TOTAL GOLF FEES to PAC</t>
  </si>
  <si>
    <t>Revenue</t>
  </si>
  <si>
    <t>Prize Sponsorship (3@ $1000)</t>
  </si>
  <si>
    <t>Title Sponsor</t>
  </si>
  <si>
    <t>Gift Bag Sponsor</t>
  </si>
  <si>
    <t>Golf Cart Sponsor</t>
  </si>
  <si>
    <t>Beverage Station Sponsor</t>
  </si>
  <si>
    <t>Snack Station Sponsor</t>
  </si>
  <si>
    <t>Owner / Management Gold Sponsor</t>
  </si>
  <si>
    <t>Owner / Management Silver Sponsor</t>
  </si>
  <si>
    <t>Owner / Management Bronze Sponsor</t>
  </si>
  <si>
    <t>Men's Closet to the Pin Sponsors</t>
  </si>
  <si>
    <t>Womens's Closet to the Pin Sponsors</t>
  </si>
  <si>
    <t>Men's Longest Drive Sponsor</t>
  </si>
  <si>
    <t>Men's Straightest Drive Sponsor</t>
  </si>
  <si>
    <t>Womens's Straightest Drive Sponsor</t>
  </si>
  <si>
    <t>Longest Putt Sponsor</t>
  </si>
  <si>
    <t>Hole-in-One Sponsor</t>
  </si>
  <si>
    <t>Supporting Sponsors</t>
  </si>
  <si>
    <t>Golf Facility</t>
  </si>
  <si>
    <t>Audio Visual</t>
  </si>
  <si>
    <t>inclusive of Service charge &amp; tax</t>
  </si>
  <si>
    <t>Meal (Lunch)</t>
  </si>
  <si>
    <t>N/A Bev (4 per person)</t>
  </si>
  <si>
    <t>Main Giveaway</t>
  </si>
  <si>
    <t>Signage</t>
  </si>
  <si>
    <t>Trophies</t>
  </si>
  <si>
    <t>Supplies (snacks)</t>
  </si>
  <si>
    <t>Hole-in-One Insurance</t>
  </si>
  <si>
    <t>Committee Meetings</t>
  </si>
  <si>
    <t>BGF _ Other Proceeds</t>
  </si>
  <si>
    <t>TRANSFER TO BGF</t>
  </si>
  <si>
    <r>
      <t>Website Support &amp; Development</t>
    </r>
    <r>
      <rPr>
        <sz val="8"/>
        <rFont val="Arial"/>
        <family val="2"/>
      </rPr>
      <t xml:space="preserve"> ($250 Network Solutions 2 year renewal March 2021)</t>
    </r>
  </si>
  <si>
    <t>Interest Income</t>
  </si>
  <si>
    <t>PAC OUTING</t>
  </si>
  <si>
    <t>All BGF dues revenue goes directly to the Assets/Liabilities- no longer hits the P&amp;L</t>
  </si>
  <si>
    <t>TOTAL PROFIT OR (LOSS) Transfer to BGF</t>
  </si>
  <si>
    <t>Meals with legislators and related GA Committee expense</t>
  </si>
  <si>
    <t>Nov 2020 actuals</t>
  </si>
  <si>
    <t>(Apr, May, Jun, Dec &amp; added $250 for plaque &amp; $1,400 for group luncheon) Moved to education</t>
  </si>
  <si>
    <t>2021 directory will be digital- no directly sales</t>
  </si>
  <si>
    <t>staff $520/mo, Spectrum $1,478/mo includes fiber data, VOIP phone system and phone service, On Hold (Spectrio) $322/quarter, Zoom $74.70/mo</t>
  </si>
  <si>
    <t>removed NAAEI donation</t>
  </si>
  <si>
    <t xml:space="preserve">Gathering of Past Presidents 1 time </t>
  </si>
  <si>
    <t>Board of Directors Retreat (Nov) &amp; PSC Retreat (Oct)</t>
  </si>
  <si>
    <t>Projected Actuals</t>
  </si>
  <si>
    <t>Associate Members (Suppliers)</t>
  </si>
  <si>
    <t>Bad Debt</t>
  </si>
  <si>
    <t>based on Nov actuals and Dec projection</t>
  </si>
  <si>
    <t>2021 Monthly Dues</t>
  </si>
  <si>
    <t>Total Member Costs</t>
  </si>
  <si>
    <t>will be added to Dues &amp; Subscriptions in Admin</t>
  </si>
  <si>
    <t>2022 EDUCATION WORKSHEET</t>
  </si>
  <si>
    <t>2022 INCOME</t>
  </si>
  <si>
    <t>2022 EXPENSES</t>
  </si>
  <si>
    <t>2022 GOVERNMENT AFFAIRS WORKSHEET</t>
  </si>
  <si>
    <t>COMMUNICATIONS 2022 WorkSheet</t>
  </si>
  <si>
    <t>Per Affiliate Member</t>
  </si>
  <si>
    <t>2021 Actuals</t>
  </si>
  <si>
    <t>2022 Budget</t>
  </si>
  <si>
    <t>NAA dues increase by .01 + .05 dues assessment through 2026</t>
  </si>
  <si>
    <t>Year</t>
  </si>
  <si>
    <t>Industry Dues Rate</t>
  </si>
  <si>
    <t>Special Assessment</t>
  </si>
  <si>
    <t>Total Industry Dues Rate (per unit)</t>
  </si>
  <si>
    <t>Supplier Dues Rate (per supplier)</t>
  </si>
  <si>
    <t>+</t>
  </si>
  <si>
    <t>NAA Dues Increase Plan</t>
  </si>
  <si>
    <t>Novi is increasing to $13,860 in 2022</t>
  </si>
  <si>
    <t>American Marketing Association Dues</t>
  </si>
  <si>
    <t xml:space="preserve">PicMonkey gift software </t>
  </si>
  <si>
    <t>Survey Monkey subscription</t>
  </si>
  <si>
    <t>Texting service to members</t>
  </si>
  <si>
    <t>Website refresh/update</t>
  </si>
  <si>
    <t>Bitly subscription</t>
  </si>
  <si>
    <t>Hootsuite subscription/social media</t>
  </si>
  <si>
    <t>Adobe software subscription</t>
  </si>
  <si>
    <t>($200 - 4 $50: gift cards, $150: end of year lunch, $200= $20 x 10 meetings, $100 name tags)</t>
  </si>
  <si>
    <t>(currently 32 IROs with over 50 units $1,600)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</si>
  <si>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</si>
  <si>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</si>
  <si>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</si>
  <si>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Update and reprint PAC brochure in March $1,000.</t>
  </si>
  <si>
    <t>Travel for SA to DC (TBD, registration cost hasn' been posted yet for 2022)</t>
  </si>
  <si>
    <t>$35/$420</t>
  </si>
  <si>
    <t>2022 Worksheet - Other Income/Expense</t>
  </si>
  <si>
    <t>Dec Board of Directors and Recognition Items- increased to include year-end gift</t>
  </si>
  <si>
    <t>based in 2021 actuals</t>
  </si>
  <si>
    <t>savings on filing sales tax early- based on 2021 actuals</t>
  </si>
  <si>
    <t>based on 2021 actuals</t>
  </si>
  <si>
    <t xml:space="preserve">(NAA $1 increase) </t>
  </si>
  <si>
    <t xml:space="preserve">(NAA .05 increase) </t>
  </si>
  <si>
    <t>NAA has increased the cost of this course and we have at least one member who has expressed interest- this does not include travel expenses</t>
  </si>
  <si>
    <t>MEMBERSHIP 2022 WORKSHEET</t>
  </si>
  <si>
    <t>Installation of Officers / Awards Gala (February 11)</t>
  </si>
  <si>
    <t>PAC Business Exchange I - (Mar)</t>
  </si>
  <si>
    <t>Maintenance Mania (April 13)</t>
  </si>
  <si>
    <t>Live2Lease  (May)</t>
  </si>
  <si>
    <t>SPAZMATICS Concert</t>
  </si>
  <si>
    <t>PAC Business Exchange II - (July)</t>
  </si>
  <si>
    <t>Tradeshow - (September 15)</t>
  </si>
  <si>
    <t>Cook-off  - (October 22)</t>
  </si>
  <si>
    <t>BOWLING TOURNAMENT</t>
  </si>
  <si>
    <t xml:space="preserve">Top Golf Event </t>
  </si>
  <si>
    <t>LOCATION-TBD</t>
  </si>
  <si>
    <t>LOCATION-HOTEL</t>
  </si>
  <si>
    <t xml:space="preserve">136 PD GOLFERS </t>
  </si>
  <si>
    <t>68 GOLFERS FOR BAY SPONSORS</t>
  </si>
  <si>
    <t xml:space="preserve">Heavy Metal Sponsor (2) </t>
  </si>
  <si>
    <t>Teams of 6</t>
  </si>
  <si>
    <t>LATE/ WALK-IN REGISTRATION</t>
  </si>
  <si>
    <t xml:space="preserve">Neon Colors Sponsor (5) </t>
  </si>
  <si>
    <t>TOTAL BOOTHS</t>
  </si>
  <si>
    <t>HOST Sponsorship (1X $2500)</t>
  </si>
  <si>
    <t>Rubik's Cube Sponsor (4 )</t>
  </si>
  <si>
    <t>Bar / Lounge (2x $1500)</t>
  </si>
  <si>
    <t>Aquanet Sponsor (1 )</t>
  </si>
  <si>
    <t>Dinner Sponsor (4x $600)</t>
  </si>
  <si>
    <t>Arcade Game Sponsor (1x $800)</t>
  </si>
  <si>
    <t>Rooftop Terrace Lounge, Food &amp; Beverage- signage &amp; mic time/awards, 4 company reps onsite</t>
  </si>
  <si>
    <t>Black Jack Table (15 @ $500)</t>
  </si>
  <si>
    <t>Supporting Sponsor (10x $150)</t>
  </si>
  <si>
    <t>Supplier Partner Attendees (300)*75.00</t>
  </si>
  <si>
    <t>SPONSOR REVENUE</t>
  </si>
  <si>
    <t>BEER &amp; BEVERAGE SPONSOR</t>
  </si>
  <si>
    <t>Onsite Attendees (300)*35.00</t>
  </si>
  <si>
    <t>EARLY ONLINE REGISTRATION</t>
  </si>
  <si>
    <t>Courtesy Lanes (Host Sponsorship)</t>
  </si>
  <si>
    <t>LOUNGE BAY SPONSOR</t>
  </si>
  <si>
    <t>Signage in bay, 2 reps to golf</t>
  </si>
  <si>
    <t>Attendee income</t>
  </si>
  <si>
    <t>REGISTRATION / WALK-IN</t>
  </si>
  <si>
    <t>Attendee Early Registration</t>
  </si>
  <si>
    <t>HIGH TOP BAY SPONSOR</t>
  </si>
  <si>
    <t>Company name on signage, recognition, no reps onsite</t>
  </si>
  <si>
    <t>Attendee Registration after deadline or walk-in</t>
  </si>
  <si>
    <t>GAME SPONSOR</t>
  </si>
  <si>
    <t>Supporting (20 @ $250)</t>
  </si>
  <si>
    <t>Billing fee</t>
  </si>
  <si>
    <t>REGISTRATION</t>
  </si>
  <si>
    <t>BAND</t>
  </si>
  <si>
    <t>MISCELLANOUS / SUPPLIES</t>
  </si>
  <si>
    <t>FOOD &amp; BEVERAGE (500)*11.95</t>
  </si>
  <si>
    <t>Attendees (250*25 ) +  (100*35)</t>
  </si>
  <si>
    <t>COURTESY LANE (Host)</t>
  </si>
  <si>
    <t>A/V</t>
  </si>
  <si>
    <t>BOWLING GAMES: (Lanes x Hours)</t>
  </si>
  <si>
    <t>SERVICE CHARGE (24%)</t>
  </si>
  <si>
    <t>SALES TAX (8.25%)</t>
  </si>
  <si>
    <t>FOOD /BEVERAGE</t>
  </si>
  <si>
    <t>BUFFET FOR ALL (500)</t>
  </si>
  <si>
    <t>BARTENDERS (5)</t>
  </si>
  <si>
    <t xml:space="preserve">BEER - BOWLERS </t>
  </si>
  <si>
    <t>BAR GRATUITY</t>
  </si>
  <si>
    <t>ELECTRICITY</t>
  </si>
  <si>
    <t>SHOE RENTAL (not included with lane rental)</t>
  </si>
  <si>
    <t>DRINK TICKETS</t>
  </si>
  <si>
    <t>GRATUITY (Facility Staff)</t>
  </si>
  <si>
    <t>SECURITY (125)*3</t>
  </si>
  <si>
    <t>STAFF TAB</t>
  </si>
  <si>
    <t>POOL TABLES</t>
  </si>
  <si>
    <t xml:space="preserve">UB TAX  / on all but alcohol </t>
  </si>
  <si>
    <t xml:space="preserve">SUPPLIES </t>
  </si>
  <si>
    <t>STOOLS</t>
  </si>
  <si>
    <t>GOLF FACILITY</t>
  </si>
  <si>
    <t xml:space="preserve">FOOD (BUFFET) </t>
  </si>
  <si>
    <t>MATERIALS / SUPPLIES</t>
  </si>
  <si>
    <t>ALCOHOL BEVERAGE (2 beer tokens per golfer)</t>
  </si>
  <si>
    <t>added staff tab</t>
  </si>
  <si>
    <t xml:space="preserve">SERVICE CHARGE </t>
  </si>
  <si>
    <t>TAXES</t>
  </si>
  <si>
    <t>included expedited shipping fee</t>
  </si>
  <si>
    <t>SIGNAGE FRAMES</t>
  </si>
  <si>
    <t>VALET PARKING</t>
  </si>
  <si>
    <t>transfer to BGF</t>
  </si>
  <si>
    <t>5 Chairs - Mental Health</t>
  </si>
  <si>
    <t>Hands on Maintenance</t>
  </si>
  <si>
    <t>Marketing thru Social Media</t>
  </si>
  <si>
    <t>Emergency Preparedness</t>
  </si>
  <si>
    <t>PR for Onsites</t>
  </si>
  <si>
    <t>Preventative Maintenance</t>
  </si>
  <si>
    <t>Personal Development Part 2</t>
  </si>
  <si>
    <t>Assistant Managers</t>
  </si>
  <si>
    <t>Bandit</t>
  </si>
  <si>
    <t>Quarry</t>
  </si>
  <si>
    <t>Meal (post-play reception)</t>
  </si>
  <si>
    <t>Post Reception Bartender Fee</t>
  </si>
  <si>
    <t>Room Set Up</t>
  </si>
  <si>
    <t>cash prizes</t>
  </si>
  <si>
    <t>Beer</t>
  </si>
  <si>
    <t>Putting/Other Contest</t>
  </si>
  <si>
    <t>Additional Sponsor Reps</t>
  </si>
  <si>
    <t>non-alcholic beverages, includes 4 reps per sponsorship with additional reps @$50 each</t>
  </si>
  <si>
    <t>includes 4 reps per sponsorship with additional reps @ $50 each</t>
  </si>
  <si>
    <t>includes 1 rep at post play reception</t>
  </si>
  <si>
    <t>Post-play reception tickets</t>
  </si>
  <si>
    <t>Driving Range Sponsor</t>
  </si>
  <si>
    <t>Putting Green Sponsor</t>
  </si>
  <si>
    <t>includes 4 reps per sponsorship to post-play reception</t>
  </si>
  <si>
    <t>includes 2 reps per sponsorship to post-play reception</t>
  </si>
  <si>
    <t>includes 1 rep per sponsorship to post-play reception</t>
  </si>
  <si>
    <t>drop</t>
  </si>
  <si>
    <t>reduced sponsors/reduced expense</t>
  </si>
  <si>
    <t>same revenue regardless of venue</t>
  </si>
  <si>
    <t>AV</t>
  </si>
  <si>
    <t>TOTAL EDUCATION</t>
  </si>
  <si>
    <t>0-99 units</t>
  </si>
  <si>
    <t>100-200 units</t>
  </si>
  <si>
    <t>200+ units</t>
  </si>
  <si>
    <t>Supplier</t>
  </si>
  <si>
    <t>Total Events Expense</t>
  </si>
  <si>
    <t>Total Events Income</t>
  </si>
  <si>
    <t>Events Net Revenue</t>
  </si>
  <si>
    <t>SUPPLIES/HOSPITALITY</t>
  </si>
  <si>
    <t>Hyatt Hill Country</t>
  </si>
  <si>
    <t>State of the Industry Income</t>
  </si>
  <si>
    <t>State of the Industry Expense</t>
  </si>
  <si>
    <t>Evictions</t>
  </si>
  <si>
    <t>New Lease: It's the Lease You Know, But New &amp; Improved!</t>
  </si>
  <si>
    <t>Virtual only</t>
  </si>
  <si>
    <t>Total Communications Income</t>
  </si>
  <si>
    <t>Total Communications Cost</t>
  </si>
  <si>
    <t>Communications Net Income</t>
  </si>
  <si>
    <t>CALP</t>
  </si>
  <si>
    <t>Reception &amp; Alumni Event</t>
  </si>
  <si>
    <t>REAC</t>
  </si>
  <si>
    <t>HQS</t>
  </si>
  <si>
    <t>TBD- HYBRID</t>
  </si>
  <si>
    <t>Alan's Sponsorships</t>
  </si>
  <si>
    <t>Pedrotti's Ranch</t>
  </si>
  <si>
    <t xml:space="preserve">PARKING </t>
  </si>
  <si>
    <t>TAA Delegates</t>
  </si>
  <si>
    <t>2 Staff NAA (GA) Advocate</t>
  </si>
  <si>
    <t xml:space="preserve">  1 ED TSAE Conference</t>
  </si>
  <si>
    <t xml:space="preserve"> IT managed service contract$796/month</t>
  </si>
  <si>
    <t>$925 monthly repairs budget (plumbing, irrigation, other AC)</t>
  </si>
  <si>
    <t xml:space="preserve">BIC Union Standard Ins. (5/20/21 to 5/19/22) Umbrella &amp; Commercial Policy; Includes a 7.6% increase at renewal </t>
  </si>
  <si>
    <t xml:space="preserve">Water, sewer, irrigation, electric (based on 2021 actuals plus 7% increase </t>
  </si>
  <si>
    <r>
      <t xml:space="preserve">Software Licenses </t>
    </r>
    <r>
      <rPr>
        <b/>
        <sz val="8"/>
        <rFont val="Arial"/>
        <family val="2"/>
      </rPr>
      <t xml:space="preserve">Quickbooks </t>
    </r>
    <r>
      <rPr>
        <sz val="8"/>
        <rFont val="Arial"/>
        <family val="2"/>
      </rPr>
      <t xml:space="preserve">$160/mo &amp; $2,900 for Map Dynamics </t>
    </r>
  </si>
  <si>
    <t>$225/mo for ED plus $200 Jan Board Orientation plus $3,500/mo Ward</t>
  </si>
  <si>
    <t xml:space="preserve"> GR Chamber lunches, Dropbox Subscription $130, SA Express $32/mo, Microsoft Office Subscription $80</t>
  </si>
  <si>
    <r>
      <t xml:space="preserve">   Dues &amp; Sub </t>
    </r>
    <r>
      <rPr>
        <sz val="8"/>
        <rFont val="Arial"/>
        <family val="2"/>
      </rPr>
      <t>(NAA Leadership Lyceum $1000, TSAE TB $395, TSAE HM $200- March,  Wufoo $42 mo</t>
    </r>
  </si>
  <si>
    <r>
      <t xml:space="preserve">   GRBus Coal Lunches $30 / mo, Dues &amp; Sub </t>
    </r>
    <r>
      <rPr>
        <sz val="8"/>
        <rFont val="Arial"/>
        <family val="2"/>
      </rPr>
      <t xml:space="preserve">(SA Biz Journal $105, Chamber Dues $986, Hisp Chmbr $375), </t>
    </r>
  </si>
  <si>
    <t>Annual audit &amp; tax return preparation; monthly financial compilation reports</t>
  </si>
  <si>
    <t>Assumes 3% increase on anniversary for 8 FT staff members 1ED, 6 Dirs/Mgrs, 1 Bookkeeper) &amp; 1 PT admin)</t>
  </si>
  <si>
    <t>2021 actuals plus 7% increase for increase in hospitality/meetings in house</t>
  </si>
  <si>
    <t>Based on 2021 990T</t>
  </si>
  <si>
    <t>(BankCard credit card fees as a percent of Gross Revenue includes bank fees) Right now QB fees will be about $1,500/mo, Banks Fees about $1,000/mo, Amex $175 annual fee, PayPal $30 mo</t>
  </si>
  <si>
    <r>
      <t xml:space="preserve">Per 2021 Tax Bill, </t>
    </r>
    <r>
      <rPr>
        <strike/>
        <sz val="7"/>
        <rFont val="Arial"/>
        <family val="2"/>
      </rPr>
      <t>Copier tax bill $1117 Mar</t>
    </r>
    <r>
      <rPr>
        <sz val="7"/>
        <rFont val="Arial"/>
        <family val="2"/>
      </rPr>
      <t>, Postage Machine $328 Mar</t>
    </r>
  </si>
  <si>
    <t xml:space="preserve">Postage meter/mailer $855.48/qtr. Copier/printer $1461.05025/mo with; $250 estimated for excess copies charge, Bld Alarm $361/qtr, </t>
  </si>
  <si>
    <t>reduction due to new postage meter agreement effective Jan 2022</t>
  </si>
  <si>
    <t xml:space="preserve">has not been utilized in years due to increase in </t>
  </si>
  <si>
    <t>compensation survey- $3500 plus sales tax &amp; 5% increase</t>
  </si>
  <si>
    <t>2022 Redbook year - Budget based off 2020 Actuals w/slight decrease in sales</t>
  </si>
  <si>
    <t>unsure of what performance is going to be- so I took 2021 actuals and reduced by 50%</t>
  </si>
  <si>
    <t>2022 budget based on 2021 actuals plus increase for Redbook deliveries</t>
  </si>
  <si>
    <t>TAA charges $80 per bood- reduced expense based on projected sales</t>
  </si>
  <si>
    <t>doesn't include Redbook sales or expenses</t>
  </si>
  <si>
    <t>Redbook Net Income</t>
  </si>
  <si>
    <t>based on 2021 actuals with 5% increase- more Redbook online subscriptions &amp; increased C&amp;L usage</t>
  </si>
  <si>
    <t xml:space="preserve">based on 2021 actuals </t>
  </si>
  <si>
    <t>Monthly (Janitorial $289, Landscape $650, $315 irrigation/landscape repairs &amp; inspections,Trash $112) Quarterly (Pest control $80, Shredder $60, AC Maintenance $954) Annual (SAPD Alarm Permit $100 Feb, Annual Fire Alarm Permit $100 Mar, Fire Extinguisher inspection $100 July, Carpet cleaning $515 Feb)</t>
  </si>
  <si>
    <t>Tech support $1,000 &amp; $50 month for Cloud storage of Communications files, Novi AMS $13,860 in May</t>
  </si>
  <si>
    <t>$250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</si>
</sst>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([$$-409]* #,##0.00_);_([$$-409]* \(#,##0.00\);_([$$-409]* &quot;-&quot;??_);_(@_)"/>
    <numFmt numFmtId="169" formatCode="General_)"/>
    <numFmt numFmtId="170" formatCode="0.0%"/>
    <numFmt numFmtId="171" formatCode="_(&quot;$&quot;* #,##0.00_);_(&quot;$&quot;* \(#,##0.00\);_(&quot;$&quot;* &quot;-&quot;_);_(@_)"/>
    <numFmt numFmtId="172" formatCode="_(* #,##0.0_);_(* \(#,##0.0\);_(* &quot;-&quot;??_);_(@_)"/>
    <numFmt numFmtId="173" formatCode="&quot;$&quot;#,##0.0"/>
    <numFmt numFmtId="174" formatCode="[$-409]d\-mmm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u/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7"/>
      <name val="Arial"/>
      <family val="2"/>
    </font>
    <font>
      <b/>
      <u/>
      <sz val="14"/>
      <name val="Helv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Comic Sans MS"/>
      <family val="4"/>
    </font>
    <font>
      <b/>
      <u/>
      <sz val="10"/>
      <name val="Helv"/>
    </font>
    <font>
      <b/>
      <u/>
      <sz val="10"/>
      <color rgb="FFFF0000"/>
      <name val="Helv"/>
    </font>
    <font>
      <b/>
      <sz val="14"/>
      <name val="Arial"/>
      <family val="2"/>
    </font>
    <font>
      <sz val="10"/>
      <color rgb="FF0070C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4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0"/>
      <name val="Helv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i/>
      <sz val="8"/>
      <name val="Helv"/>
    </font>
    <font>
      <sz val="8"/>
      <color rgb="FF00B050"/>
      <name val="Arial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</cellStyleXfs>
  <cellXfs count="2101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/>
    <xf numFmtId="2" fontId="0" fillId="0" borderId="0" xfId="0" applyNumberFormat="1"/>
    <xf numFmtId="0" fontId="14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2" xfId="0" applyFont="1" applyBorder="1" applyAlignment="1">
      <alignment horizontal="center"/>
    </xf>
    <xf numFmtId="164" fontId="0" fillId="0" borderId="1" xfId="1" applyNumberFormat="1" applyFont="1" applyFill="1" applyBorder="1"/>
    <xf numFmtId="44" fontId="0" fillId="0" borderId="1" xfId="4" applyFont="1" applyFill="1" applyBorder="1"/>
    <xf numFmtId="44" fontId="0" fillId="0" borderId="0" xfId="4" applyFont="1" applyBorder="1"/>
    <xf numFmtId="0" fontId="14" fillId="0" borderId="3" xfId="0" applyFont="1" applyBorder="1"/>
    <xf numFmtId="0" fontId="0" fillId="0" borderId="1" xfId="0" applyFill="1" applyBorder="1"/>
    <xf numFmtId="0" fontId="0" fillId="0" borderId="0" xfId="0" applyFill="1"/>
    <xf numFmtId="0" fontId="17" fillId="0" borderId="0" xfId="0" applyFont="1" applyFill="1"/>
    <xf numFmtId="164" fontId="15" fillId="0" borderId="0" xfId="1" applyNumberFormat="1" applyFont="1" applyFill="1"/>
    <xf numFmtId="164" fontId="15" fillId="0" borderId="0" xfId="1" applyNumberFormat="1" applyFont="1" applyFill="1" applyBorder="1" applyProtection="1"/>
    <xf numFmtId="164" fontId="15" fillId="0" borderId="0" xfId="1" applyNumberFormat="1" applyFont="1" applyFill="1" applyBorder="1"/>
    <xf numFmtId="37" fontId="15" fillId="0" borderId="0" xfId="0" applyNumberFormat="1" applyFont="1" applyFill="1" applyBorder="1" applyProtection="1"/>
    <xf numFmtId="37" fontId="15" fillId="0" borderId="6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164" fontId="0" fillId="0" borderId="9" xfId="1" applyNumberFormat="1" applyFont="1" applyFill="1" applyBorder="1"/>
    <xf numFmtId="43" fontId="0" fillId="0" borderId="9" xfId="1" applyFont="1" applyFill="1" applyBorder="1"/>
    <xf numFmtId="43" fontId="0" fillId="0" borderId="2" xfId="1" applyFont="1" applyFill="1" applyBorder="1"/>
    <xf numFmtId="44" fontId="0" fillId="0" borderId="10" xfId="4" applyFont="1" applyFill="1" applyBorder="1"/>
    <xf numFmtId="44" fontId="0" fillId="0" borderId="9" xfId="4" applyFont="1" applyFill="1" applyBorder="1"/>
    <xf numFmtId="44" fontId="0" fillId="0" borderId="2" xfId="4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64" fontId="0" fillId="0" borderId="13" xfId="1" applyNumberFormat="1" applyFont="1" applyFill="1" applyBorder="1"/>
    <xf numFmtId="44" fontId="0" fillId="0" borderId="13" xfId="4" applyFont="1" applyFill="1" applyBorder="1"/>
    <xf numFmtId="44" fontId="0" fillId="0" borderId="14" xfId="4" applyFont="1" applyFill="1" applyBorder="1"/>
    <xf numFmtId="164" fontId="0" fillId="0" borderId="0" xfId="1" applyNumberFormat="1" applyFont="1" applyFill="1" applyBorder="1"/>
    <xf numFmtId="37" fontId="11" fillId="0" borderId="0" xfId="0" applyNumberFormat="1" applyFont="1" applyFill="1" applyProtection="1"/>
    <xf numFmtId="0" fontId="14" fillId="0" borderId="0" xfId="0" applyFont="1" applyFill="1"/>
    <xf numFmtId="0" fontId="0" fillId="0" borderId="2" xfId="0" applyBorder="1"/>
    <xf numFmtId="0" fontId="8" fillId="0" borderId="0" xfId="0" applyFont="1"/>
    <xf numFmtId="0" fontId="8" fillId="0" borderId="15" xfId="0" applyFont="1" applyBorder="1"/>
    <xf numFmtId="0" fontId="14" fillId="0" borderId="15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8" fillId="0" borderId="16" xfId="0" applyFont="1" applyFill="1" applyBorder="1"/>
    <xf numFmtId="0" fontId="14" fillId="0" borderId="16" xfId="0" applyFont="1" applyFill="1" applyBorder="1"/>
    <xf numFmtId="0" fontId="14" fillId="0" borderId="1" xfId="0" applyFont="1" applyFill="1" applyBorder="1"/>
    <xf numFmtId="0" fontId="0" fillId="0" borderId="10" xfId="0" applyFill="1" applyBorder="1"/>
    <xf numFmtId="0" fontId="0" fillId="0" borderId="8" xfId="0" applyBorder="1"/>
    <xf numFmtId="44" fontId="8" fillId="0" borderId="1" xfId="4" applyFont="1" applyFill="1" applyBorder="1"/>
    <xf numFmtId="0" fontId="8" fillId="0" borderId="1" xfId="0" applyFont="1" applyBorder="1" applyAlignment="1">
      <alignment horizontal="center"/>
    </xf>
    <xf numFmtId="164" fontId="8" fillId="0" borderId="1" xfId="1" applyNumberFormat="1" applyFont="1" applyFill="1" applyBorder="1"/>
    <xf numFmtId="0" fontId="8" fillId="0" borderId="16" xfId="0" applyFont="1" applyBorder="1"/>
    <xf numFmtId="43" fontId="14" fillId="0" borderId="15" xfId="1" applyFont="1" applyBorder="1"/>
    <xf numFmtId="43" fontId="14" fillId="0" borderId="15" xfId="0" applyNumberFormat="1" applyFont="1" applyBorder="1"/>
    <xf numFmtId="164" fontId="14" fillId="0" borderId="9" xfId="1" applyNumberFormat="1" applyFont="1" applyFill="1" applyBorder="1"/>
    <xf numFmtId="43" fontId="14" fillId="0" borderId="9" xfId="1" applyFont="1" applyFill="1" applyBorder="1"/>
    <xf numFmtId="44" fontId="14" fillId="0" borderId="2" xfId="0" applyNumberFormat="1" applyFont="1" applyBorder="1"/>
    <xf numFmtId="44" fontId="14" fillId="0" borderId="14" xfId="4" applyFont="1" applyFill="1" applyBorder="1"/>
    <xf numFmtId="43" fontId="14" fillId="0" borderId="2" xfId="1" applyFont="1" applyFill="1" applyBorder="1"/>
    <xf numFmtId="164" fontId="14" fillId="0" borderId="16" xfId="1" applyNumberFormat="1" applyFont="1" applyFill="1" applyBorder="1"/>
    <xf numFmtId="3" fontId="0" fillId="0" borderId="0" xfId="0" applyNumberFormat="1"/>
    <xf numFmtId="0" fontId="14" fillId="0" borderId="8" xfId="0" applyFont="1" applyBorder="1" applyAlignment="1">
      <alignment horizontal="right"/>
    </xf>
    <xf numFmtId="3" fontId="14" fillId="0" borderId="8" xfId="0" applyNumberFormat="1" applyFont="1" applyBorder="1"/>
    <xf numFmtId="3" fontId="0" fillId="0" borderId="8" xfId="0" applyNumberFormat="1" applyBorder="1"/>
    <xf numFmtId="3" fontId="14" fillId="0" borderId="8" xfId="0" applyNumberFormat="1" applyFont="1" applyBorder="1" applyAlignment="1">
      <alignment horizontal="right"/>
    </xf>
    <xf numFmtId="164" fontId="8" fillId="0" borderId="16" xfId="1" applyNumberFormat="1" applyFont="1" applyFill="1" applyBorder="1"/>
    <xf numFmtId="43" fontId="8" fillId="0" borderId="1" xfId="1" applyFont="1" applyFill="1" applyBorder="1"/>
    <xf numFmtId="164" fontId="8" fillId="0" borderId="15" xfId="1" applyNumberFormat="1" applyFont="1" applyFill="1" applyBorder="1"/>
    <xf numFmtId="0" fontId="8" fillId="0" borderId="15" xfId="0" applyFont="1" applyFill="1" applyBorder="1"/>
    <xf numFmtId="0" fontId="0" fillId="0" borderId="0" xfId="0" applyAlignment="1">
      <alignment wrapText="1"/>
    </xf>
    <xf numFmtId="43" fontId="0" fillId="0" borderId="0" xfId="0" applyNumberFormat="1"/>
    <xf numFmtId="164" fontId="8" fillId="0" borderId="1" xfId="1" applyNumberFormat="1" applyFont="1" applyBorder="1" applyAlignment="1">
      <alignment horizontal="center"/>
    </xf>
    <xf numFmtId="10" fontId="8" fillId="0" borderId="1" xfId="9" applyNumberFormat="1" applyFont="1" applyBorder="1"/>
    <xf numFmtId="9" fontId="8" fillId="0" borderId="1" xfId="0" applyNumberFormat="1" applyFont="1" applyBorder="1"/>
    <xf numFmtId="10" fontId="8" fillId="0" borderId="16" xfId="9" applyNumberFormat="1" applyFont="1" applyBorder="1"/>
    <xf numFmtId="43" fontId="8" fillId="0" borderId="15" xfId="0" applyNumberFormat="1" applyFont="1" applyBorder="1"/>
    <xf numFmtId="0" fontId="0" fillId="3" borderId="0" xfId="0" applyFill="1"/>
    <xf numFmtId="0" fontId="18" fillId="3" borderId="0" xfId="0" applyFont="1" applyFill="1"/>
    <xf numFmtId="4" fontId="0" fillId="3" borderId="22" xfId="0" applyNumberFormat="1" applyFill="1" applyBorder="1"/>
    <xf numFmtId="4" fontId="0" fillId="3" borderId="23" xfId="0" applyNumberFormat="1" applyFill="1" applyBorder="1"/>
    <xf numFmtId="43" fontId="24" fillId="0" borderId="2" xfId="1" applyFont="1" applyFill="1" applyBorder="1"/>
    <xf numFmtId="167" fontId="0" fillId="3" borderId="23" xfId="0" applyNumberFormat="1" applyFill="1" applyBorder="1"/>
    <xf numFmtId="164" fontId="23" fillId="0" borderId="0" xfId="1" applyNumberFormat="1" applyFont="1" applyBorder="1"/>
    <xf numFmtId="44" fontId="23" fillId="0" borderId="0" xfId="4" applyFont="1" applyBorder="1"/>
    <xf numFmtId="43" fontId="8" fillId="0" borderId="15" xfId="1" applyNumberFormat="1" applyFont="1" applyFill="1" applyBorder="1"/>
    <xf numFmtId="0" fontId="23" fillId="0" borderId="0" xfId="0" applyFont="1" applyBorder="1"/>
    <xf numFmtId="2" fontId="23" fillId="0" borderId="0" xfId="1" applyNumberFormat="1" applyFont="1" applyBorder="1"/>
    <xf numFmtId="10" fontId="0" fillId="0" borderId="0" xfId="9" applyNumberFormat="1" applyFont="1"/>
    <xf numFmtId="164" fontId="8" fillId="0" borderId="15" xfId="1" applyNumberFormat="1" applyFont="1" applyFill="1" applyBorder="1" applyAlignment="1">
      <alignment horizontal="center"/>
    </xf>
    <xf numFmtId="10" fontId="24" fillId="0" borderId="8" xfId="0" applyNumberFormat="1" applyFont="1" applyBorder="1"/>
    <xf numFmtId="0" fontId="17" fillId="0" borderId="0" xfId="0" applyFont="1" applyFill="1" applyBorder="1"/>
    <xf numFmtId="37" fontId="10" fillId="0" borderId="0" xfId="0" applyNumberFormat="1" applyFont="1" applyFill="1" applyAlignment="1" applyProtection="1">
      <alignment horizontal="left"/>
    </xf>
    <xf numFmtId="43" fontId="8" fillId="0" borderId="15" xfId="1" applyNumberFormat="1" applyFont="1" applyBorder="1"/>
    <xf numFmtId="43" fontId="14" fillId="0" borderId="15" xfId="1" applyNumberFormat="1" applyFont="1" applyBorder="1"/>
    <xf numFmtId="164" fontId="8" fillId="0" borderId="1" xfId="1" applyNumberFormat="1" applyFont="1" applyFill="1" applyBorder="1" applyAlignment="1">
      <alignment horizontal="center"/>
    </xf>
    <xf numFmtId="10" fontId="8" fillId="0" borderId="15" xfId="9" applyNumberFormat="1" applyFont="1" applyBorder="1"/>
    <xf numFmtId="164" fontId="17" fillId="0" borderId="0" xfId="0" applyNumberFormat="1" applyFont="1" applyFill="1"/>
    <xf numFmtId="43" fontId="0" fillId="0" borderId="0" xfId="0" applyNumberFormat="1" applyBorder="1"/>
    <xf numFmtId="164" fontId="17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 applyProtection="1">
      <alignment horizontal="left"/>
    </xf>
    <xf numFmtId="37" fontId="17" fillId="0" borderId="0" xfId="0" applyNumberFormat="1" applyFont="1" applyFill="1" applyBorder="1" applyAlignment="1" applyProtection="1">
      <alignment horizontal="left"/>
    </xf>
    <xf numFmtId="37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164" fontId="0" fillId="0" borderId="1" xfId="2" applyNumberFormat="1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8" fillId="0" borderId="0" xfId="2" applyNumberFormat="1" applyFont="1" applyFill="1" applyBorder="1"/>
    <xf numFmtId="44" fontId="8" fillId="0" borderId="1" xfId="5" applyFont="1" applyFill="1" applyBorder="1"/>
    <xf numFmtId="0" fontId="8" fillId="0" borderId="0" xfId="6"/>
    <xf numFmtId="0" fontId="8" fillId="0" borderId="1" xfId="6" applyBorder="1"/>
    <xf numFmtId="0" fontId="8" fillId="0" borderId="34" xfId="6" applyBorder="1"/>
    <xf numFmtId="0" fontId="8" fillId="0" borderId="51" xfId="6" applyBorder="1"/>
    <xf numFmtId="164" fontId="25" fillId="0" borderId="0" xfId="2" applyNumberFormat="1" applyFont="1"/>
    <xf numFmtId="37" fontId="11" fillId="0" borderId="0" xfId="0" applyNumberFormat="1" applyFont="1" applyFill="1" applyBorder="1" applyProtection="1"/>
    <xf numFmtId="44" fontId="26" fillId="0" borderId="1" xfId="4" applyFont="1" applyBorder="1"/>
    <xf numFmtId="44" fontId="26" fillId="0" borderId="64" xfId="4" applyFont="1" applyFill="1" applyBorder="1"/>
    <xf numFmtId="8" fontId="26" fillId="0" borderId="53" xfId="4" applyNumberFormat="1" applyFont="1" applyBorder="1"/>
    <xf numFmtId="44" fontId="26" fillId="0" borderId="16" xfId="4" applyFont="1" applyBorder="1"/>
    <xf numFmtId="44" fontId="26" fillId="0" borderId="53" xfId="4" applyFont="1" applyBorder="1"/>
    <xf numFmtId="44" fontId="26" fillId="0" borderId="1" xfId="4" applyFont="1" applyFill="1" applyBorder="1"/>
    <xf numFmtId="0" fontId="8" fillId="0" borderId="1" xfId="6" applyBorder="1" applyAlignment="1">
      <alignment horizontal="right"/>
    </xf>
    <xf numFmtId="0" fontId="8" fillId="0" borderId="18" xfId="6" applyBorder="1" applyAlignment="1">
      <alignment horizontal="right"/>
    </xf>
    <xf numFmtId="0" fontId="8" fillId="0" borderId="18" xfId="6" applyBorder="1"/>
    <xf numFmtId="44" fontId="0" fillId="0" borderId="0" xfId="5" applyFont="1" applyFill="1" applyBorder="1"/>
    <xf numFmtId="44" fontId="32" fillId="0" borderId="0" xfId="4" applyFont="1" applyFill="1" applyBorder="1"/>
    <xf numFmtId="44" fontId="26" fillId="0" borderId="53" xfId="4" applyFont="1" applyFill="1" applyBorder="1"/>
    <xf numFmtId="44" fontId="8" fillId="0" borderId="1" xfId="4" applyFont="1" applyFill="1" applyBorder="1" applyAlignment="1">
      <alignment horizontal="center"/>
    </xf>
    <xf numFmtId="44" fontId="8" fillId="0" borderId="0" xfId="4" applyFont="1" applyFill="1" applyBorder="1"/>
    <xf numFmtId="44" fontId="8" fillId="0" borderId="11" xfId="4" applyFont="1" applyBorder="1" applyAlignment="1">
      <alignment horizontal="center"/>
    </xf>
    <xf numFmtId="44" fontId="8" fillId="0" borderId="64" xfId="4" applyFont="1" applyFill="1" applyBorder="1"/>
    <xf numFmtId="167" fontId="26" fillId="0" borderId="1" xfId="4" applyNumberFormat="1" applyFont="1" applyBorder="1"/>
    <xf numFmtId="167" fontId="26" fillId="0" borderId="0" xfId="4" applyNumberFormat="1" applyFont="1" applyFill="1" applyBorder="1"/>
    <xf numFmtId="44" fontId="7" fillId="3" borderId="77" xfId="4" applyFont="1" applyFill="1" applyBorder="1" applyAlignment="1">
      <alignment horizontal="center"/>
    </xf>
    <xf numFmtId="44" fontId="7" fillId="3" borderId="20" xfId="4" applyFont="1" applyFill="1" applyBorder="1"/>
    <xf numFmtId="8" fontId="20" fillId="0" borderId="0" xfId="4" applyNumberFormat="1" applyFont="1" applyFill="1" applyBorder="1"/>
    <xf numFmtId="8" fontId="26" fillId="0" borderId="53" xfId="4" applyNumberFormat="1" applyFont="1" applyFill="1" applyBorder="1"/>
    <xf numFmtId="164" fontId="8" fillId="0" borderId="1" xfId="2" applyNumberFormat="1" applyFont="1" applyFill="1" applyBorder="1"/>
    <xf numFmtId="44" fontId="8" fillId="0" borderId="64" xfId="4" applyFont="1" applyBorder="1"/>
    <xf numFmtId="44" fontId="8" fillId="0" borderId="1" xfId="4" applyFont="1" applyFill="1" applyBorder="1" applyAlignment="1">
      <alignment horizontal="right"/>
    </xf>
    <xf numFmtId="44" fontId="8" fillId="0" borderId="53" xfId="4" applyFont="1" applyFill="1" applyBorder="1"/>
    <xf numFmtId="44" fontId="26" fillId="0" borderId="0" xfId="4" applyFont="1" applyFill="1" applyBorder="1"/>
    <xf numFmtId="0" fontId="26" fillId="0" borderId="56" xfId="6" applyFont="1" applyBorder="1"/>
    <xf numFmtId="0" fontId="26" fillId="0" borderId="38" xfId="6" applyFont="1" applyBorder="1"/>
    <xf numFmtId="164" fontId="31" fillId="0" borderId="0" xfId="2" applyNumberFormat="1" applyFont="1" applyFill="1" applyBorder="1"/>
    <xf numFmtId="44" fontId="31" fillId="0" borderId="0" xfId="4" applyFont="1" applyFill="1" applyBorder="1"/>
    <xf numFmtId="164" fontId="33" fillId="0" borderId="0" xfId="2" applyNumberFormat="1" applyFont="1" applyFill="1"/>
    <xf numFmtId="44" fontId="8" fillId="0" borderId="0" xfId="4" applyFont="1" applyFill="1" applyBorder="1" applyAlignment="1">
      <alignment horizontal="center"/>
    </xf>
    <xf numFmtId="44" fontId="21" fillId="0" borderId="0" xfId="4" applyFont="1" applyFill="1" applyBorder="1"/>
    <xf numFmtId="44" fontId="7" fillId="3" borderId="104" xfId="4" applyFont="1" applyFill="1" applyBorder="1"/>
    <xf numFmtId="44" fontId="31" fillId="0" borderId="0" xfId="5" applyFont="1" applyFill="1" applyBorder="1"/>
    <xf numFmtId="0" fontId="31" fillId="0" borderId="0" xfId="4" applyNumberFormat="1" applyFont="1" applyFill="1" applyBorder="1"/>
    <xf numFmtId="1" fontId="31" fillId="0" borderId="0" xfId="4" applyNumberFormat="1" applyFont="1" applyFill="1" applyBorder="1"/>
    <xf numFmtId="44" fontId="20" fillId="0" borderId="0" xfId="4" applyFont="1" applyFill="1" applyBorder="1"/>
    <xf numFmtId="44" fontId="27" fillId="0" borderId="0" xfId="4" applyFont="1" applyFill="1" applyBorder="1"/>
    <xf numFmtId="44" fontId="8" fillId="0" borderId="64" xfId="4" applyFont="1" applyFill="1" applyBorder="1" applyAlignment="1">
      <alignment horizontal="center"/>
    </xf>
    <xf numFmtId="8" fontId="8" fillId="0" borderId="12" xfId="4" applyNumberFormat="1" applyFont="1" applyBorder="1"/>
    <xf numFmtId="8" fontId="8" fillId="0" borderId="0" xfId="4" applyNumberFormat="1" applyFont="1" applyFill="1" applyBorder="1"/>
    <xf numFmtId="44" fontId="7" fillId="0" borderId="0" xfId="4" applyFont="1" applyFill="1" applyBorder="1" applyAlignment="1"/>
    <xf numFmtId="44" fontId="27" fillId="3" borderId="14" xfId="4" applyFont="1" applyFill="1" applyBorder="1"/>
    <xf numFmtId="44" fontId="8" fillId="6" borderId="26" xfId="4" applyFont="1" applyFill="1" applyBorder="1" applyAlignment="1">
      <alignment horizontal="center"/>
    </xf>
    <xf numFmtId="44" fontId="8" fillId="6" borderId="77" xfId="4" applyFont="1" applyFill="1" applyBorder="1"/>
    <xf numFmtId="44" fontId="8" fillId="6" borderId="12" xfId="4" applyFont="1" applyFill="1" applyBorder="1"/>
    <xf numFmtId="44" fontId="8" fillId="6" borderId="85" xfId="4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56" xfId="4" applyFont="1" applyFill="1" applyBorder="1" applyAlignment="1">
      <alignment horizontal="center"/>
    </xf>
    <xf numFmtId="44" fontId="7" fillId="2" borderId="37" xfId="4" applyFont="1" applyFill="1" applyBorder="1"/>
    <xf numFmtId="44" fontId="27" fillId="2" borderId="66" xfId="4" applyFont="1" applyFill="1" applyBorder="1"/>
    <xf numFmtId="44" fontId="7" fillId="2" borderId="66" xfId="4" applyFont="1" applyFill="1" applyBorder="1"/>
    <xf numFmtId="164" fontId="26" fillId="0" borderId="53" xfId="2" applyNumberFormat="1" applyFont="1" applyFill="1" applyBorder="1"/>
    <xf numFmtId="44" fontId="8" fillId="0" borderId="38" xfId="4" applyFont="1" applyFill="1" applyBorder="1"/>
    <xf numFmtId="44" fontId="8" fillId="0" borderId="85" xfId="4" applyFont="1" applyFill="1" applyBorder="1"/>
    <xf numFmtId="44" fontId="8" fillId="0" borderId="70" xfId="4" applyFont="1" applyBorder="1"/>
    <xf numFmtId="44" fontId="8" fillId="0" borderId="65" xfId="4" applyFont="1" applyFill="1" applyBorder="1"/>
    <xf numFmtId="44" fontId="7" fillId="3" borderId="97" xfId="4" applyFont="1" applyFill="1" applyBorder="1"/>
    <xf numFmtId="44" fontId="7" fillId="4" borderId="66" xfId="4" applyFont="1" applyFill="1" applyBorder="1"/>
    <xf numFmtId="44" fontId="7" fillId="0" borderId="51" xfId="4" applyFont="1" applyBorder="1"/>
    <xf numFmtId="0" fontId="8" fillId="0" borderId="0" xfId="0" applyFont="1" applyBorder="1"/>
    <xf numFmtId="44" fontId="8" fillId="0" borderId="2" xfId="4" applyFont="1" applyFill="1" applyBorder="1" applyAlignment="1"/>
    <xf numFmtId="44" fontId="7" fillId="0" borderId="1" xfId="4" applyFont="1" applyBorder="1"/>
    <xf numFmtId="8" fontId="8" fillId="0" borderId="12" xfId="4" applyNumberFormat="1" applyFont="1" applyFill="1" applyBorder="1"/>
    <xf numFmtId="8" fontId="8" fillId="0" borderId="53" xfId="4" applyNumberFormat="1" applyFont="1" applyFill="1" applyBorder="1"/>
    <xf numFmtId="8" fontId="8" fillId="0" borderId="65" xfId="4" applyNumberFormat="1" applyFont="1" applyFill="1" applyBorder="1"/>
    <xf numFmtId="8" fontId="8" fillId="0" borderId="64" xfId="4" applyNumberFormat="1" applyFont="1" applyFill="1" applyBorder="1"/>
    <xf numFmtId="44" fontId="36" fillId="0" borderId="53" xfId="4" applyFont="1" applyFill="1" applyBorder="1"/>
    <xf numFmtId="8" fontId="7" fillId="2" borderId="66" xfId="4" applyNumberFormat="1" applyFont="1" applyFill="1" applyBorder="1"/>
    <xf numFmtId="0" fontId="7" fillId="0" borderId="56" xfId="6" applyFont="1" applyBorder="1" applyAlignment="1">
      <alignment horizontal="left"/>
    </xf>
    <xf numFmtId="8" fontId="7" fillId="0" borderId="53" xfId="4" applyNumberFormat="1" applyFont="1" applyFill="1" applyBorder="1"/>
    <xf numFmtId="44" fontId="7" fillId="4" borderId="77" xfId="4" applyFont="1" applyFill="1" applyBorder="1"/>
    <xf numFmtId="168" fontId="26" fillId="0" borderId="16" xfId="4" applyNumberFormat="1" applyFont="1" applyBorder="1"/>
    <xf numFmtId="168" fontId="26" fillId="0" borderId="53" xfId="4" applyNumberFormat="1" applyFont="1" applyBorder="1"/>
    <xf numFmtId="164" fontId="26" fillId="0" borderId="12" xfId="2" applyNumberFormat="1" applyFont="1" applyBorder="1"/>
    <xf numFmtId="44" fontId="27" fillId="0" borderId="87" xfId="4" applyFont="1" applyFill="1" applyBorder="1"/>
    <xf numFmtId="44" fontId="26" fillId="0" borderId="65" xfId="4" applyFont="1" applyFill="1" applyBorder="1"/>
    <xf numFmtId="44" fontId="8" fillId="0" borderId="1" xfId="4" applyFont="1" applyFill="1" applyBorder="1" applyAlignment="1"/>
    <xf numFmtId="44" fontId="27" fillId="0" borderId="65" xfId="4" applyFont="1" applyFill="1" applyBorder="1"/>
    <xf numFmtId="44" fontId="7" fillId="3" borderId="14" xfId="4" applyFont="1" applyFill="1" applyBorder="1"/>
    <xf numFmtId="164" fontId="8" fillId="0" borderId="16" xfId="2" applyNumberFormat="1" applyFont="1" applyFill="1" applyBorder="1"/>
    <xf numFmtId="8" fontId="8" fillId="0" borderId="1" xfId="4" applyNumberFormat="1" applyFont="1" applyFill="1" applyBorder="1"/>
    <xf numFmtId="164" fontId="37" fillId="0" borderId="16" xfId="2" applyNumberFormat="1" applyFont="1" applyFill="1" applyBorder="1"/>
    <xf numFmtId="44" fontId="37" fillId="0" borderId="53" xfId="4" applyFont="1" applyFill="1" applyBorder="1"/>
    <xf numFmtId="44" fontId="8" fillId="0" borderId="25" xfId="4" applyFont="1" applyFill="1" applyBorder="1"/>
    <xf numFmtId="164" fontId="7" fillId="0" borderId="53" xfId="6" applyNumberFormat="1" applyFont="1" applyBorder="1"/>
    <xf numFmtId="164" fontId="26" fillId="3" borderId="15" xfId="2" applyNumberFormat="1" applyFont="1" applyFill="1" applyBorder="1"/>
    <xf numFmtId="44" fontId="27" fillId="3" borderId="66" xfId="4" applyFont="1" applyFill="1" applyBorder="1"/>
    <xf numFmtId="44" fontId="26" fillId="0" borderId="12" xfId="4" applyFont="1" applyFill="1" applyBorder="1"/>
    <xf numFmtId="164" fontId="26" fillId="0" borderId="2" xfId="2" applyNumberFormat="1" applyFont="1" applyFill="1" applyBorder="1"/>
    <xf numFmtId="164" fontId="26" fillId="0" borderId="2" xfId="2" applyNumberFormat="1" applyFont="1" applyBorder="1"/>
    <xf numFmtId="164" fontId="26" fillId="0" borderId="61" xfId="2" applyNumberFormat="1" applyFont="1" applyBorder="1"/>
    <xf numFmtId="44" fontId="8" fillId="0" borderId="77" xfId="4" applyFont="1" applyFill="1" applyBorder="1"/>
    <xf numFmtId="0" fontId="7" fillId="2" borderId="15" xfId="6" applyFont="1" applyFill="1" applyBorder="1"/>
    <xf numFmtId="164" fontId="7" fillId="2" borderId="15" xfId="2" applyNumberFormat="1" applyFont="1" applyFill="1" applyBorder="1"/>
    <xf numFmtId="164" fontId="7" fillId="2" borderId="66" xfId="2" applyNumberFormat="1" applyFont="1" applyFill="1" applyBorder="1"/>
    <xf numFmtId="0" fontId="42" fillId="0" borderId="16" xfId="6" applyFont="1" applyBorder="1"/>
    <xf numFmtId="164" fontId="43" fillId="0" borderId="16" xfId="2" applyNumberFormat="1" applyFont="1" applyBorder="1"/>
    <xf numFmtId="164" fontId="43" fillId="0" borderId="53" xfId="2" applyNumberFormat="1" applyFont="1" applyBorder="1"/>
    <xf numFmtId="44" fontId="7" fillId="3" borderId="21" xfId="4" applyFont="1" applyFill="1" applyBorder="1" applyAlignment="1"/>
    <xf numFmtId="44" fontId="7" fillId="3" borderId="84" xfId="4" applyFont="1" applyFill="1" applyBorder="1" applyAlignment="1"/>
    <xf numFmtId="0" fontId="7" fillId="2" borderId="37" xfId="6" applyFont="1" applyFill="1" applyBorder="1" applyAlignment="1">
      <alignment horizontal="left"/>
    </xf>
    <xf numFmtId="0" fontId="7" fillId="2" borderId="15" xfId="6" applyFont="1" applyFill="1" applyBorder="1" applyAlignment="1">
      <alignment horizontal="left"/>
    </xf>
    <xf numFmtId="44" fontId="8" fillId="0" borderId="68" xfId="4" applyFont="1" applyFill="1" applyBorder="1"/>
    <xf numFmtId="44" fontId="27" fillId="2" borderId="106" xfId="4" applyFont="1" applyFill="1" applyBorder="1"/>
    <xf numFmtId="44" fontId="7" fillId="3" borderId="66" xfId="4" applyFont="1" applyFill="1" applyBorder="1"/>
    <xf numFmtId="44" fontId="26" fillId="0" borderId="70" xfId="5" applyFont="1" applyBorder="1" applyAlignment="1">
      <alignment horizontal="left"/>
    </xf>
    <xf numFmtId="44" fontId="8" fillId="0" borderId="18" xfId="5" applyFont="1" applyBorder="1" applyAlignment="1">
      <alignment horizontal="left"/>
    </xf>
    <xf numFmtId="164" fontId="26" fillId="0" borderId="65" xfId="2" applyNumberFormat="1" applyFont="1" applyBorder="1"/>
    <xf numFmtId="44" fontId="27" fillId="0" borderId="77" xfId="4" applyFont="1" applyFill="1" applyBorder="1"/>
    <xf numFmtId="44" fontId="8" fillId="6" borderId="18" xfId="4" applyFont="1" applyFill="1" applyBorder="1" applyAlignment="1">
      <alignment horizontal="center"/>
    </xf>
    <xf numFmtId="44" fontId="8" fillId="6" borderId="65" xfId="4" applyFont="1" applyFill="1" applyBorder="1"/>
    <xf numFmtId="44" fontId="7" fillId="3" borderId="66" xfId="4" applyFont="1" applyFill="1" applyBorder="1" applyAlignment="1">
      <alignment horizontal="center"/>
    </xf>
    <xf numFmtId="167" fontId="8" fillId="0" borderId="18" xfId="2" applyNumberFormat="1" applyFont="1" applyFill="1" applyBorder="1"/>
    <xf numFmtId="8" fontId="26" fillId="0" borderId="77" xfId="4" applyNumberFormat="1" applyFont="1" applyFill="1" applyBorder="1"/>
    <xf numFmtId="164" fontId="8" fillId="0" borderId="18" xfId="2" applyNumberFormat="1" applyFont="1" applyFill="1" applyBorder="1"/>
    <xf numFmtId="8" fontId="8" fillId="0" borderId="18" xfId="4" applyNumberFormat="1" applyFont="1" applyFill="1" applyBorder="1"/>
    <xf numFmtId="39" fontId="7" fillId="2" borderId="66" xfId="6" applyNumberFormat="1" applyFont="1" applyFill="1" applyBorder="1"/>
    <xf numFmtId="8" fontId="7" fillId="0" borderId="77" xfId="4" applyNumberFormat="1" applyFont="1" applyFill="1" applyBorder="1"/>
    <xf numFmtId="44" fontId="7" fillId="2" borderId="106" xfId="4" applyFont="1" applyFill="1" applyBorder="1" applyAlignment="1"/>
    <xf numFmtId="44" fontId="34" fillId="0" borderId="0" xfId="4" applyFont="1" applyFill="1" applyBorder="1"/>
    <xf numFmtId="164" fontId="29" fillId="0" borderId="1" xfId="2" applyNumberFormat="1" applyFont="1" applyBorder="1"/>
    <xf numFmtId="164" fontId="26" fillId="0" borderId="16" xfId="2" applyNumberFormat="1" applyFont="1" applyFill="1" applyBorder="1"/>
    <xf numFmtId="44" fontId="26" fillId="0" borderId="16" xfId="4" applyFont="1" applyFill="1" applyBorder="1"/>
    <xf numFmtId="44" fontId="8" fillId="0" borderId="16" xfId="4" applyFont="1" applyFill="1" applyBorder="1"/>
    <xf numFmtId="164" fontId="7" fillId="2" borderId="73" xfId="2" applyNumberFormat="1" applyFont="1" applyFill="1" applyBorder="1"/>
    <xf numFmtId="39" fontId="7" fillId="2" borderId="14" xfId="6" applyNumberFormat="1" applyFont="1" applyFill="1" applyBorder="1"/>
    <xf numFmtId="44" fontId="8" fillId="0" borderId="12" xfId="4" applyFont="1" applyBorder="1"/>
    <xf numFmtId="44" fontId="26" fillId="0" borderId="51" xfId="4" applyFont="1" applyBorder="1"/>
    <xf numFmtId="44" fontId="29" fillId="0" borderId="64" xfId="4" applyFont="1" applyBorder="1"/>
    <xf numFmtId="44" fontId="29" fillId="0" borderId="64" xfId="4" applyFont="1" applyFill="1" applyBorder="1"/>
    <xf numFmtId="164" fontId="26" fillId="0" borderId="0" xfId="2" applyNumberFormat="1" applyFont="1" applyFill="1" applyBorder="1"/>
    <xf numFmtId="164" fontId="26" fillId="0" borderId="11" xfId="2" applyNumberFormat="1" applyFont="1" applyFill="1" applyBorder="1"/>
    <xf numFmtId="44" fontId="26" fillId="0" borderId="11" xfId="4" applyFont="1" applyFill="1" applyBorder="1"/>
    <xf numFmtId="164" fontId="26" fillId="0" borderId="1" xfId="2" applyNumberFormat="1" applyFont="1" applyFill="1" applyBorder="1"/>
    <xf numFmtId="44" fontId="44" fillId="0" borderId="12" xfId="4" applyFont="1" applyFill="1" applyBorder="1"/>
    <xf numFmtId="44" fontId="45" fillId="0" borderId="64" xfId="4" applyFont="1" applyFill="1" applyBorder="1"/>
    <xf numFmtId="44" fontId="44" fillId="0" borderId="64" xfId="4" applyFont="1" applyFill="1" applyBorder="1" applyAlignment="1">
      <alignment horizontal="right"/>
    </xf>
    <xf numFmtId="0" fontId="35" fillId="2" borderId="8" xfId="6" applyFont="1" applyFill="1" applyBorder="1" applyAlignment="1">
      <alignment horizontal="left"/>
    </xf>
    <xf numFmtId="0" fontId="35" fillId="2" borderId="59" xfId="6" applyFont="1" applyFill="1" applyBorder="1" applyAlignment="1">
      <alignment horizontal="left"/>
    </xf>
    <xf numFmtId="44" fontId="7" fillId="3" borderId="73" xfId="4" applyFont="1" applyFill="1" applyBorder="1" applyAlignment="1"/>
    <xf numFmtId="44" fontId="7" fillId="3" borderId="91" xfId="4" applyFont="1" applyFill="1" applyBorder="1" applyAlignment="1"/>
    <xf numFmtId="0" fontId="8" fillId="0" borderId="1" xfId="4" applyNumberFormat="1" applyFont="1" applyFill="1" applyBorder="1" applyAlignment="1"/>
    <xf numFmtId="44" fontId="27" fillId="0" borderId="64" xfId="4" applyFont="1" applyFill="1" applyBorder="1"/>
    <xf numFmtId="164" fontId="27" fillId="0" borderId="2" xfId="2" applyNumberFormat="1" applyFont="1" applyFill="1" applyBorder="1"/>
    <xf numFmtId="44" fontId="7" fillId="0" borderId="64" xfId="4" applyFont="1" applyFill="1" applyBorder="1"/>
    <xf numFmtId="44" fontId="8" fillId="0" borderId="29" xfId="4" applyFont="1" applyFill="1" applyBorder="1" applyAlignment="1">
      <alignment horizontal="right"/>
    </xf>
    <xf numFmtId="44" fontId="8" fillId="0" borderId="55" xfId="4" applyFont="1" applyFill="1" applyBorder="1"/>
    <xf numFmtId="164" fontId="49" fillId="0" borderId="0" xfId="1" applyNumberFormat="1" applyFont="1" applyFill="1"/>
    <xf numFmtId="43" fontId="49" fillId="0" borderId="0" xfId="1" applyFont="1" applyFill="1"/>
    <xf numFmtId="37" fontId="50" fillId="0" borderId="0" xfId="1" applyNumberFormat="1" applyFont="1" applyFill="1"/>
    <xf numFmtId="0" fontId="7" fillId="0" borderId="0" xfId="0" applyFont="1" applyFill="1" applyAlignment="1">
      <alignment horizontal="center"/>
    </xf>
    <xf numFmtId="164" fontId="8" fillId="0" borderId="1" xfId="1" applyNumberFormat="1" applyFont="1" applyFill="1" applyBorder="1" applyAlignment="1">
      <alignment horizontal="centerContinuous"/>
    </xf>
    <xf numFmtId="43" fontId="8" fillId="0" borderId="1" xfId="1" applyFont="1" applyFill="1" applyBorder="1" applyAlignment="1">
      <alignment horizontal="left"/>
    </xf>
    <xf numFmtId="37" fontId="8" fillId="0" borderId="1" xfId="1" applyNumberFormat="1" applyFont="1" applyFill="1" applyBorder="1" applyAlignment="1">
      <alignment horizontal="centerContinuous"/>
    </xf>
    <xf numFmtId="37" fontId="8" fillId="0" borderId="0" xfId="1" applyNumberFormat="1" applyFont="1" applyFill="1" applyBorder="1" applyAlignment="1">
      <alignment horizontal="centerContinuous"/>
    </xf>
    <xf numFmtId="0" fontId="7" fillId="0" borderId="0" xfId="0" applyFont="1" applyFill="1"/>
    <xf numFmtId="37" fontId="8" fillId="0" borderId="1" xfId="0" applyNumberFormat="1" applyFont="1" applyFill="1" applyBorder="1" applyAlignment="1" applyProtection="1">
      <alignment horizontal="left"/>
    </xf>
    <xf numFmtId="37" fontId="8" fillId="0" borderId="1" xfId="1" applyNumberFormat="1" applyFont="1" applyFill="1" applyBorder="1"/>
    <xf numFmtId="3" fontId="7" fillId="0" borderId="1" xfId="1" applyNumberFormat="1" applyFont="1" applyFill="1" applyBorder="1"/>
    <xf numFmtId="37" fontId="29" fillId="0" borderId="1" xfId="1" applyNumberFormat="1" applyFont="1" applyFill="1" applyBorder="1" applyAlignment="1">
      <alignment wrapText="1"/>
    </xf>
    <xf numFmtId="37" fontId="8" fillId="0" borderId="0" xfId="1" applyNumberFormat="1" applyFont="1" applyFill="1" applyBorder="1"/>
    <xf numFmtId="0" fontId="8" fillId="0" borderId="0" xfId="0" applyFont="1" applyFill="1"/>
    <xf numFmtId="37" fontId="12" fillId="0" borderId="0" xfId="0" applyNumberFormat="1" applyFont="1" applyFill="1" applyAlignment="1" applyProtection="1">
      <alignment horizontal="left"/>
    </xf>
    <xf numFmtId="3" fontId="7" fillId="4" borderId="1" xfId="1" applyNumberFormat="1" applyFont="1" applyFill="1" applyBorder="1"/>
    <xf numFmtId="37" fontId="8" fillId="0" borderId="0" xfId="0" applyNumberFormat="1" applyFont="1" applyFill="1" applyAlignment="1" applyProtection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37" fontId="8" fillId="0" borderId="0" xfId="1" applyNumberFormat="1" applyFont="1" applyFill="1" applyBorder="1" applyProtection="1"/>
    <xf numFmtId="43" fontId="8" fillId="0" borderId="16" xfId="1" applyFont="1" applyFill="1" applyBorder="1"/>
    <xf numFmtId="37" fontId="8" fillId="0" borderId="16" xfId="1" applyNumberFormat="1" applyFont="1" applyFill="1" applyBorder="1"/>
    <xf numFmtId="164" fontId="8" fillId="0" borderId="0" xfId="0" applyNumberFormat="1" applyFont="1" applyFill="1"/>
    <xf numFmtId="164" fontId="25" fillId="0" borderId="0" xfId="1" applyNumberFormat="1" applyFont="1" applyFill="1"/>
    <xf numFmtId="37" fontId="7" fillId="0" borderId="1" xfId="0" applyNumberFormat="1" applyFont="1" applyFill="1" applyBorder="1" applyAlignment="1" applyProtection="1">
      <alignment horizontal="left"/>
    </xf>
    <xf numFmtId="43" fontId="25" fillId="0" borderId="0" xfId="1" applyFont="1" applyFill="1"/>
    <xf numFmtId="37" fontId="8" fillId="0" borderId="0" xfId="1" applyNumberFormat="1" applyFont="1" applyFill="1"/>
    <xf numFmtId="164" fontId="8" fillId="5" borderId="1" xfId="1" applyNumberFormat="1" applyFont="1" applyFill="1" applyBorder="1"/>
    <xf numFmtId="37" fontId="8" fillId="5" borderId="1" xfId="1" applyNumberFormat="1" applyFont="1" applyFill="1" applyBorder="1"/>
    <xf numFmtId="3" fontId="7" fillId="5" borderId="1" xfId="1" applyNumberFormat="1" applyFont="1" applyFill="1" applyBorder="1"/>
    <xf numFmtId="0" fontId="7" fillId="0" borderId="0" xfId="6" applyFont="1" applyAlignment="1">
      <alignment horizontal="center"/>
    </xf>
    <xf numFmtId="164" fontId="8" fillId="4" borderId="1" xfId="1" applyNumberFormat="1" applyFont="1" applyFill="1" applyBorder="1"/>
    <xf numFmtId="37" fontId="8" fillId="4" borderId="1" xfId="1" applyNumberFormat="1" applyFont="1" applyFill="1" applyBorder="1"/>
    <xf numFmtId="37" fontId="8" fillId="5" borderId="1" xfId="0" applyNumberFormat="1" applyFont="1" applyFill="1" applyBorder="1" applyAlignment="1" applyProtection="1">
      <alignment horizontal="left"/>
    </xf>
    <xf numFmtId="37" fontId="8" fillId="5" borderId="0" xfId="1" applyNumberFormat="1" applyFont="1" applyFill="1" applyBorder="1"/>
    <xf numFmtId="164" fontId="8" fillId="5" borderId="15" xfId="1" applyNumberFormat="1" applyFont="1" applyFill="1" applyBorder="1"/>
    <xf numFmtId="43" fontId="8" fillId="5" borderId="15" xfId="1" applyFont="1" applyFill="1" applyBorder="1"/>
    <xf numFmtId="164" fontId="8" fillId="5" borderId="107" xfId="1" applyNumberFormat="1" applyFont="1" applyFill="1" applyBorder="1"/>
    <xf numFmtId="43" fontId="8" fillId="5" borderId="107" xfId="1" applyFont="1" applyFill="1" applyBorder="1"/>
    <xf numFmtId="43" fontId="8" fillId="5" borderId="1" xfId="1" applyFont="1" applyFill="1" applyBorder="1"/>
    <xf numFmtId="164" fontId="25" fillId="5" borderId="0" xfId="1" applyNumberFormat="1" applyFont="1" applyFill="1"/>
    <xf numFmtId="164" fontId="7" fillId="5" borderId="1" xfId="1" applyNumberFormat="1" applyFont="1" applyFill="1" applyBorder="1"/>
    <xf numFmtId="164" fontId="7" fillId="5" borderId="15" xfId="1" applyNumberFormat="1" applyFont="1" applyFill="1" applyBorder="1"/>
    <xf numFmtId="164" fontId="8" fillId="5" borderId="26" xfId="1" applyNumberFormat="1" applyFont="1" applyFill="1" applyBorder="1"/>
    <xf numFmtId="43" fontId="8" fillId="5" borderId="26" xfId="1" applyFont="1" applyFill="1" applyBorder="1"/>
    <xf numFmtId="37" fontId="7" fillId="5" borderId="26" xfId="1" applyNumberFormat="1" applyFont="1" applyFill="1" applyBorder="1"/>
    <xf numFmtId="164" fontId="30" fillId="5" borderId="1" xfId="1" applyNumberFormat="1" applyFont="1" applyFill="1" applyBorder="1"/>
    <xf numFmtId="164" fontId="8" fillId="5" borderId="16" xfId="1" applyNumberFormat="1" applyFont="1" applyFill="1" applyBorder="1"/>
    <xf numFmtId="43" fontId="8" fillId="5" borderId="16" xfId="1" applyFont="1" applyFill="1" applyBorder="1"/>
    <xf numFmtId="37" fontId="8" fillId="5" borderId="16" xfId="1" applyNumberFormat="1" applyFont="1" applyFill="1" applyBorder="1"/>
    <xf numFmtId="43" fontId="7" fillId="5" borderId="1" xfId="1" applyFont="1" applyFill="1" applyBorder="1"/>
    <xf numFmtId="164" fontId="8" fillId="5" borderId="18" xfId="1" applyNumberFormat="1" applyFont="1" applyFill="1" applyBorder="1"/>
    <xf numFmtId="43" fontId="8" fillId="5" borderId="18" xfId="1" applyFont="1" applyFill="1" applyBorder="1"/>
    <xf numFmtId="37" fontId="8" fillId="5" borderId="18" xfId="1" applyNumberFormat="1" applyFont="1" applyFill="1" applyBorder="1"/>
    <xf numFmtId="43" fontId="25" fillId="5" borderId="0" xfId="1" applyFont="1" applyFill="1"/>
    <xf numFmtId="164" fontId="8" fillId="4" borderId="18" xfId="1" applyNumberFormat="1" applyFont="1" applyFill="1" applyBorder="1"/>
    <xf numFmtId="43" fontId="8" fillId="4" borderId="18" xfId="1" applyFont="1" applyFill="1" applyBorder="1"/>
    <xf numFmtId="37" fontId="8" fillId="4" borderId="18" xfId="1" applyNumberFormat="1" applyFont="1" applyFill="1" applyBorder="1"/>
    <xf numFmtId="37" fontId="8" fillId="5" borderId="26" xfId="1" applyNumberFormat="1" applyFont="1" applyFill="1" applyBorder="1"/>
    <xf numFmtId="164" fontId="7" fillId="5" borderId="18" xfId="1" applyNumberFormat="1" applyFont="1" applyFill="1" applyBorder="1"/>
    <xf numFmtId="3" fontId="7" fillId="5" borderId="18" xfId="1" applyNumberFormat="1" applyFont="1" applyFill="1" applyBorder="1"/>
    <xf numFmtId="43" fontId="7" fillId="5" borderId="18" xfId="1" applyFont="1" applyFill="1" applyBorder="1"/>
    <xf numFmtId="0" fontId="7" fillId="0" borderId="1" xfId="7" applyFont="1" applyBorder="1"/>
    <xf numFmtId="164" fontId="24" fillId="0" borderId="1" xfId="2" applyNumberFormat="1" applyFont="1" applyBorder="1" applyAlignment="1">
      <alignment horizontal="center"/>
    </xf>
    <xf numFmtId="164" fontId="24" fillId="0" borderId="1" xfId="2" applyNumberFormat="1" applyFont="1" applyBorder="1"/>
    <xf numFmtId="0" fontId="8" fillId="0" borderId="1" xfId="7" applyFill="1" applyBorder="1"/>
    <xf numFmtId="164" fontId="25" fillId="5" borderId="1" xfId="2" applyNumberFormat="1" applyFont="1" applyFill="1" applyBorder="1"/>
    <xf numFmtId="0" fontId="0" fillId="0" borderId="0" xfId="0" applyFont="1"/>
    <xf numFmtId="0" fontId="8" fillId="5" borderId="1" xfId="7" applyFill="1" applyBorder="1"/>
    <xf numFmtId="164" fontId="25" fillId="0" borderId="1" xfId="2" applyNumberFormat="1" applyFont="1" applyFill="1" applyBorder="1"/>
    <xf numFmtId="0" fontId="8" fillId="0" borderId="1" xfId="7" applyFont="1" applyFill="1" applyBorder="1"/>
    <xf numFmtId="164" fontId="25" fillId="5" borderId="18" xfId="2" applyNumberFormat="1" applyFont="1" applyFill="1" applyBorder="1"/>
    <xf numFmtId="164" fontId="25" fillId="0" borderId="18" xfId="2" applyNumberFormat="1" applyFont="1" applyFill="1" applyBorder="1"/>
    <xf numFmtId="164" fontId="25" fillId="5" borderId="16" xfId="2" applyNumberFormat="1" applyFont="1" applyFill="1" applyBorder="1"/>
    <xf numFmtId="164" fontId="25" fillId="0" borderId="16" xfId="2" applyNumberFormat="1" applyFont="1" applyFill="1" applyBorder="1"/>
    <xf numFmtId="0" fontId="7" fillId="0" borderId="17" xfId="7" applyFont="1" applyBorder="1"/>
    <xf numFmtId="0" fontId="8" fillId="0" borderId="26" xfId="7" applyFill="1" applyBorder="1"/>
    <xf numFmtId="0" fontId="8" fillId="0" borderId="0" xfId="7"/>
    <xf numFmtId="164" fontId="8" fillId="0" borderId="0" xfId="0" applyNumberFormat="1" applyFont="1" applyFill="1" applyBorder="1"/>
    <xf numFmtId="164" fontId="7" fillId="0" borderId="34" xfId="2" applyNumberFormat="1" applyFont="1" applyFill="1" applyBorder="1"/>
    <xf numFmtId="0" fontId="7" fillId="0" borderId="0" xfId="7" applyFont="1"/>
    <xf numFmtId="0" fontId="53" fillId="0" borderId="0" xfId="7" applyFont="1"/>
    <xf numFmtId="0" fontId="8" fillId="0" borderId="0" xfId="7" applyAlignment="1">
      <alignment horizontal="center"/>
    </xf>
    <xf numFmtId="0" fontId="8" fillId="0" borderId="0" xfId="7" applyFill="1"/>
    <xf numFmtId="0" fontId="8" fillId="5" borderId="0" xfId="7" applyFill="1"/>
    <xf numFmtId="0" fontId="59" fillId="0" borderId="0" xfId="7" applyFont="1" applyFill="1"/>
    <xf numFmtId="0" fontId="7" fillId="0" borderId="0" xfId="7" applyFont="1" applyFill="1"/>
    <xf numFmtId="0" fontId="60" fillId="0" borderId="0" xfId="7" applyFont="1" applyFill="1"/>
    <xf numFmtId="0" fontId="8" fillId="0" borderId="0" xfId="7" applyAlignment="1">
      <alignment wrapText="1"/>
    </xf>
    <xf numFmtId="169" fontId="9" fillId="0" borderId="0" xfId="7" applyNumberFormat="1" applyFont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wrapText="1"/>
    </xf>
    <xf numFmtId="169" fontId="9" fillId="0" borderId="18" xfId="7" applyNumberFormat="1" applyFont="1" applyFill="1" applyBorder="1" applyAlignment="1" applyProtection="1">
      <alignment wrapText="1"/>
    </xf>
    <xf numFmtId="37" fontId="9" fillId="0" borderId="24" xfId="7" applyNumberFormat="1" applyFont="1" applyFill="1" applyBorder="1" applyAlignment="1" applyProtection="1">
      <alignment horizontal="center" wrapText="1"/>
    </xf>
    <xf numFmtId="0" fontId="24" fillId="0" borderId="109" xfId="7" applyFont="1" applyFill="1" applyBorder="1" applyAlignment="1">
      <alignment horizontal="center" wrapText="1"/>
    </xf>
    <xf numFmtId="169" fontId="9" fillId="0" borderId="109" xfId="7" applyNumberFormat="1" applyFont="1" applyFill="1" applyBorder="1" applyAlignment="1" applyProtection="1">
      <alignment horizontal="center" wrapText="1"/>
    </xf>
    <xf numFmtId="169" fontId="9" fillId="0" borderId="18" xfId="7" applyNumberFormat="1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wrapText="1"/>
    </xf>
    <xf numFmtId="0" fontId="53" fillId="0" borderId="0" xfId="0" applyFont="1" applyFill="1" applyBorder="1"/>
    <xf numFmtId="0" fontId="53" fillId="0" borderId="0" xfId="0" applyFont="1" applyFill="1" applyAlignment="1">
      <alignment wrapText="1"/>
    </xf>
    <xf numFmtId="37" fontId="61" fillId="0" borderId="110" xfId="7" applyNumberFormat="1" applyFont="1" applyBorder="1" applyAlignment="1" applyProtection="1">
      <alignment horizontal="center"/>
    </xf>
    <xf numFmtId="37" fontId="61" fillId="0" borderId="110" xfId="7" applyNumberFormat="1" applyFont="1" applyFill="1" applyBorder="1" applyAlignment="1" applyProtection="1">
      <alignment horizontal="center"/>
    </xf>
    <xf numFmtId="37" fontId="61" fillId="0" borderId="111" xfId="7" applyNumberFormat="1" applyFont="1" applyFill="1" applyBorder="1" applyAlignment="1" applyProtection="1">
      <alignment horizontal="center"/>
    </xf>
    <xf numFmtId="37" fontId="61" fillId="0" borderId="25" xfId="7" applyNumberFormat="1" applyFont="1" applyFill="1" applyBorder="1" applyAlignment="1" applyProtection="1">
      <alignment horizontal="center"/>
    </xf>
    <xf numFmtId="37" fontId="61" fillId="0" borderId="4" xfId="7" applyNumberFormat="1" applyFont="1" applyFill="1" applyBorder="1" applyAlignment="1" applyProtection="1">
      <alignment horizontal="center"/>
    </xf>
    <xf numFmtId="37" fontId="61" fillId="0" borderId="16" xfId="7" applyNumberFormat="1" applyFont="1" applyFill="1" applyBorder="1" applyAlignment="1" applyProtection="1">
      <alignment horizontal="center"/>
    </xf>
    <xf numFmtId="37" fontId="61" fillId="0" borderId="0" xfId="7" applyNumberFormat="1" applyFont="1" applyFill="1" applyBorder="1" applyAlignment="1" applyProtection="1">
      <alignment horizontal="center"/>
    </xf>
    <xf numFmtId="37" fontId="62" fillId="0" borderId="0" xfId="7" applyNumberFormat="1" applyFont="1" applyFill="1" applyBorder="1" applyAlignment="1" applyProtection="1">
      <alignment horizontal="center"/>
    </xf>
    <xf numFmtId="0" fontId="53" fillId="0" borderId="0" xfId="0" applyFont="1" applyFill="1"/>
    <xf numFmtId="0" fontId="63" fillId="0" borderId="0" xfId="7" applyFont="1"/>
    <xf numFmtId="37" fontId="61" fillId="0" borderId="0" xfId="7" applyNumberFormat="1" applyFont="1" applyBorder="1" applyAlignment="1" applyProtection="1">
      <alignment horizontal="center"/>
    </xf>
    <xf numFmtId="37" fontId="61" fillId="0" borderId="26" xfId="7" applyNumberFormat="1" applyFont="1" applyFill="1" applyBorder="1" applyAlignment="1" applyProtection="1">
      <alignment horizontal="center"/>
    </xf>
    <xf numFmtId="9" fontId="61" fillId="0" borderId="0" xfId="9" applyFont="1" applyFill="1" applyBorder="1" applyAlignment="1" applyProtection="1">
      <alignment horizontal="center"/>
    </xf>
    <xf numFmtId="0" fontId="53" fillId="0" borderId="0" xfId="0" applyFont="1" applyFill="1" applyBorder="1" applyAlignment="1">
      <alignment horizontal="center"/>
    </xf>
    <xf numFmtId="17" fontId="53" fillId="0" borderId="0" xfId="0" applyNumberFormat="1" applyFont="1" applyFill="1" applyBorder="1" applyAlignment="1">
      <alignment horizontal="center"/>
    </xf>
    <xf numFmtId="17" fontId="53" fillId="0" borderId="0" xfId="0" applyNumberFormat="1" applyFont="1" applyFill="1" applyAlignment="1">
      <alignment horizontal="center"/>
    </xf>
    <xf numFmtId="0" fontId="8" fillId="0" borderId="1" xfId="7" applyBorder="1"/>
    <xf numFmtId="0" fontId="8" fillId="0" borderId="3" xfId="7" applyFill="1" applyBorder="1"/>
    <xf numFmtId="41" fontId="64" fillId="0" borderId="2" xfId="2" applyNumberFormat="1" applyFont="1" applyFill="1" applyBorder="1"/>
    <xf numFmtId="170" fontId="8" fillId="0" borderId="1" xfId="7" applyNumberFormat="1" applyFill="1" applyBorder="1"/>
    <xf numFmtId="1" fontId="64" fillId="4" borderId="2" xfId="2" applyNumberFormat="1" applyFont="1" applyFill="1" applyBorder="1"/>
    <xf numFmtId="42" fontId="64" fillId="0" borderId="2" xfId="2" applyNumberFormat="1" applyFont="1" applyFill="1" applyBorder="1"/>
    <xf numFmtId="42" fontId="8" fillId="0" borderId="2" xfId="2" applyNumberFormat="1" applyFont="1" applyFill="1" applyBorder="1"/>
    <xf numFmtId="42" fontId="53" fillId="0" borderId="30" xfId="7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1" fontId="8" fillId="4" borderId="1" xfId="7" applyNumberFormat="1" applyFill="1" applyBorder="1"/>
    <xf numFmtId="42" fontId="8" fillId="0" borderId="1" xfId="7" applyNumberFormat="1" applyFill="1" applyBorder="1"/>
    <xf numFmtId="42" fontId="8" fillId="0" borderId="1" xfId="7" applyNumberFormat="1" applyFont="1" applyFill="1" applyBorder="1"/>
    <xf numFmtId="42" fontId="53" fillId="0" borderId="30" xfId="7" applyNumberFormat="1" applyFont="1" applyFill="1" applyBorder="1"/>
    <xf numFmtId="3" fontId="53" fillId="0" borderId="0" xfId="0" applyNumberFormat="1" applyFont="1" applyFill="1" applyBorder="1"/>
    <xf numFmtId="42" fontId="53" fillId="0" borderId="0" xfId="0" applyNumberFormat="1" applyFont="1" applyFill="1" applyBorder="1"/>
    <xf numFmtId="171" fontId="8" fillId="0" borderId="1" xfId="7" applyNumberFormat="1" applyFont="1" applyFill="1" applyBorder="1"/>
    <xf numFmtId="44" fontId="8" fillId="0" borderId="0" xfId="7" applyNumberFormat="1" applyFont="1" applyFill="1" applyBorder="1"/>
    <xf numFmtId="170" fontId="8" fillId="0" borderId="0" xfId="7" applyNumberFormat="1" applyFill="1"/>
    <xf numFmtId="170" fontId="8" fillId="0" borderId="0" xfId="7" applyNumberFormat="1" applyFont="1" applyFill="1"/>
    <xf numFmtId="0" fontId="7" fillId="0" borderId="0" xfId="0" applyFont="1" applyBorder="1"/>
    <xf numFmtId="164" fontId="0" fillId="0" borderId="1" xfId="2" applyNumberFormat="1" applyFont="1" applyFill="1" applyBorder="1"/>
    <xf numFmtId="164" fontId="8" fillId="0" borderId="3" xfId="2" applyNumberFormat="1" applyFont="1" applyFill="1" applyBorder="1"/>
    <xf numFmtId="43" fontId="64" fillId="0" borderId="2" xfId="2" applyNumberFormat="1" applyFont="1" applyFill="1" applyBorder="1"/>
    <xf numFmtId="1" fontId="8" fillId="0" borderId="1" xfId="7" applyNumberFormat="1" applyFill="1" applyBorder="1"/>
    <xf numFmtId="1" fontId="8" fillId="0" borderId="1" xfId="7" applyNumberFormat="1" applyFont="1" applyFill="1" applyBorder="1"/>
    <xf numFmtId="1" fontId="8" fillId="4" borderId="1" xfId="7" applyNumberFormat="1" applyFont="1" applyFill="1" applyBorder="1"/>
    <xf numFmtId="1" fontId="8" fillId="0" borderId="0" xfId="7" applyNumberFormat="1" applyFill="1" applyBorder="1"/>
    <xf numFmtId="1" fontId="0" fillId="0" borderId="0" xfId="0" applyNumberFormat="1" applyBorder="1"/>
    <xf numFmtId="172" fontId="64" fillId="0" borderId="2" xfId="2" applyNumberFormat="1" applyFont="1" applyFill="1" applyBorder="1"/>
    <xf numFmtId="1" fontId="8" fillId="0" borderId="0" xfId="0" applyNumberFormat="1" applyFont="1" applyBorder="1"/>
    <xf numFmtId="164" fontId="0" fillId="0" borderId="15" xfId="2" applyNumberFormat="1" applyFont="1" applyBorder="1"/>
    <xf numFmtId="164" fontId="8" fillId="0" borderId="15" xfId="2" applyNumberFormat="1" applyFont="1" applyFill="1" applyBorder="1"/>
    <xf numFmtId="164" fontId="0" fillId="0" borderId="15" xfId="2" applyNumberFormat="1" applyFont="1" applyFill="1" applyBorder="1"/>
    <xf numFmtId="164" fontId="8" fillId="0" borderId="27" xfId="2" applyNumberFormat="1" applyFont="1" applyFill="1" applyBorder="1"/>
    <xf numFmtId="41" fontId="64" fillId="0" borderId="15" xfId="2" applyNumberFormat="1" applyFont="1" applyFill="1" applyBorder="1"/>
    <xf numFmtId="170" fontId="8" fillId="0" borderId="15" xfId="7" applyNumberFormat="1" applyFill="1" applyBorder="1"/>
    <xf numFmtId="1" fontId="8" fillId="4" borderId="15" xfId="7" applyNumberFormat="1" applyFill="1" applyBorder="1"/>
    <xf numFmtId="43" fontId="64" fillId="0" borderId="15" xfId="2" applyNumberFormat="1" applyFont="1" applyFill="1" applyBorder="1"/>
    <xf numFmtId="172" fontId="64" fillId="0" borderId="15" xfId="2" applyNumberFormat="1" applyFont="1" applyFill="1" applyBorder="1"/>
    <xf numFmtId="1" fontId="8" fillId="0" borderId="15" xfId="7" applyNumberFormat="1" applyFill="1" applyBorder="1"/>
    <xf numFmtId="1" fontId="8" fillId="0" borderId="15" xfId="7" applyNumberFormat="1" applyFont="1" applyFill="1" applyBorder="1"/>
    <xf numFmtId="1" fontId="8" fillId="4" borderId="15" xfId="7" applyNumberFormat="1" applyFont="1" applyFill="1" applyBorder="1"/>
    <xf numFmtId="0" fontId="0" fillId="0" borderId="7" xfId="0" applyFill="1" applyBorder="1"/>
    <xf numFmtId="164" fontId="0" fillId="0" borderId="16" xfId="2" applyNumberFormat="1" applyFont="1" applyBorder="1"/>
    <xf numFmtId="164" fontId="0" fillId="0" borderId="16" xfId="2" applyNumberFormat="1" applyFont="1" applyFill="1" applyBorder="1"/>
    <xf numFmtId="164" fontId="8" fillId="0" borderId="25" xfId="2" applyNumberFormat="1" applyFont="1" applyFill="1" applyBorder="1"/>
    <xf numFmtId="41" fontId="64" fillId="0" borderId="28" xfId="2" applyNumberFormat="1" applyFont="1" applyFill="1" applyBorder="1"/>
    <xf numFmtId="170" fontId="8" fillId="0" borderId="16" xfId="7" applyNumberFormat="1" applyFill="1" applyBorder="1"/>
    <xf numFmtId="1" fontId="8" fillId="4" borderId="16" xfId="7" applyNumberFormat="1" applyFill="1" applyBorder="1"/>
    <xf numFmtId="1" fontId="7" fillId="0" borderId="16" xfId="7" applyNumberFormat="1" applyFont="1" applyFill="1" applyBorder="1"/>
    <xf numFmtId="3" fontId="8" fillId="4" borderId="1" xfId="7" applyNumberFormat="1" applyFill="1" applyBorder="1"/>
    <xf numFmtId="164" fontId="64" fillId="0" borderId="2" xfId="2" applyNumberFormat="1" applyFont="1" applyFill="1" applyBorder="1"/>
    <xf numFmtId="3" fontId="8" fillId="0" borderId="1" xfId="7" applyNumberFormat="1" applyFill="1" applyBorder="1"/>
    <xf numFmtId="3" fontId="8" fillId="0" borderId="1" xfId="7" applyNumberFormat="1" applyFont="1" applyFill="1" applyBorder="1"/>
    <xf numFmtId="3" fontId="0" fillId="0" borderId="0" xfId="0" applyNumberFormat="1" applyBorder="1"/>
    <xf numFmtId="164" fontId="0" fillId="0" borderId="0" xfId="2" applyNumberFormat="1" applyFont="1" applyFill="1"/>
    <xf numFmtId="164" fontId="8" fillId="0" borderId="0" xfId="2" applyNumberFormat="1" applyFont="1" applyFill="1"/>
    <xf numFmtId="164" fontId="8" fillId="0" borderId="26" xfId="2" applyNumberFormat="1" applyFont="1" applyFill="1" applyBorder="1"/>
    <xf numFmtId="170" fontId="7" fillId="0" borderId="0" xfId="7" applyNumberFormat="1" applyFont="1" applyFill="1"/>
    <xf numFmtId="9" fontId="8" fillId="0" borderId="4" xfId="0" applyNumberFormat="1" applyFont="1" applyBorder="1" applyAlignment="1">
      <alignment horizontal="center"/>
    </xf>
    <xf numFmtId="9" fontId="8" fillId="0" borderId="0" xfId="0" applyNumberFormat="1" applyFont="1" applyFill="1" applyBorder="1"/>
    <xf numFmtId="9" fontId="29" fillId="0" borderId="0" xfId="0" applyNumberFormat="1" applyFont="1" applyFill="1" applyBorder="1"/>
    <xf numFmtId="3" fontId="8" fillId="4" borderId="1" xfId="2" applyNumberFormat="1" applyFont="1" applyFill="1" applyBorder="1" applyAlignment="1">
      <alignment horizontal="right"/>
    </xf>
    <xf numFmtId="3" fontId="8" fillId="0" borderId="1" xfId="2" applyNumberFormat="1" applyFont="1" applyFill="1" applyBorder="1" applyAlignment="1">
      <alignment horizontal="right"/>
    </xf>
    <xf numFmtId="3" fontId="8" fillId="4" borderId="1" xfId="2" applyNumberFormat="1" applyFont="1" applyFill="1" applyBorder="1"/>
    <xf numFmtId="3" fontId="8" fillId="0" borderId="1" xfId="2" applyNumberFormat="1" applyFont="1" applyFill="1" applyBorder="1"/>
    <xf numFmtId="3" fontId="53" fillId="0" borderId="1" xfId="2" applyNumberFormat="1" applyFont="1" applyFill="1" applyBorder="1"/>
    <xf numFmtId="0" fontId="29" fillId="0" borderId="0" xfId="0" applyFont="1" applyBorder="1"/>
    <xf numFmtId="3" fontId="8" fillId="4" borderId="15" xfId="2" applyNumberFormat="1" applyFont="1" applyFill="1" applyBorder="1"/>
    <xf numFmtId="3" fontId="8" fillId="0" borderId="15" xfId="2" applyNumberFormat="1" applyFont="1" applyFill="1" applyBorder="1"/>
    <xf numFmtId="3" fontId="53" fillId="0" borderId="15" xfId="2" applyNumberFormat="1" applyFont="1" applyFill="1" applyBorder="1"/>
    <xf numFmtId="3" fontId="0" fillId="0" borderId="7" xfId="0" applyNumberFormat="1" applyBorder="1"/>
    <xf numFmtId="3" fontId="8" fillId="0" borderId="16" xfId="2" applyNumberFormat="1" applyFont="1" applyFill="1" applyBorder="1"/>
    <xf numFmtId="43" fontId="64" fillId="0" borderId="28" xfId="2" applyNumberFormat="1" applyFont="1" applyFill="1" applyBorder="1"/>
    <xf numFmtId="3" fontId="7" fillId="0" borderId="16" xfId="2" applyNumberFormat="1" applyFont="1" applyFill="1" applyBorder="1"/>
    <xf numFmtId="165" fontId="7" fillId="0" borderId="1" xfId="5" applyNumberFormat="1" applyFont="1" applyFill="1" applyBorder="1"/>
    <xf numFmtId="0" fontId="8" fillId="0" borderId="0" xfId="7" applyBorder="1"/>
    <xf numFmtId="0" fontId="8" fillId="0" borderId="1" xfId="7" applyBorder="1" applyAlignment="1">
      <alignment horizontal="left"/>
    </xf>
    <xf numFmtId="164" fontId="8" fillId="4" borderId="1" xfId="2" applyNumberFormat="1" applyFont="1" applyFill="1" applyBorder="1"/>
    <xf numFmtId="164" fontId="8" fillId="4" borderId="15" xfId="2" applyNumberFormat="1" applyFont="1" applyFill="1" applyBorder="1"/>
    <xf numFmtId="0" fontId="0" fillId="0" borderId="7" xfId="0" applyBorder="1"/>
    <xf numFmtId="44" fontId="0" fillId="0" borderId="16" xfId="5" applyFont="1" applyFill="1" applyBorder="1"/>
    <xf numFmtId="44" fontId="8" fillId="0" borderId="16" xfId="5" applyFont="1" applyFill="1" applyBorder="1"/>
    <xf numFmtId="44" fontId="8" fillId="0" borderId="25" xfId="5" applyFont="1" applyFill="1" applyBorder="1"/>
    <xf numFmtId="44" fontId="8" fillId="4" borderId="16" xfId="5" applyFont="1" applyFill="1" applyBorder="1"/>
    <xf numFmtId="44" fontId="7" fillId="0" borderId="16" xfId="5" applyFont="1" applyFill="1" applyBorder="1"/>
    <xf numFmtId="0" fontId="8" fillId="0" borderId="0" xfId="7" applyBorder="1" applyAlignment="1">
      <alignment horizontal="left"/>
    </xf>
    <xf numFmtId="44" fontId="8" fillId="0" borderId="0" xfId="5" applyFont="1" applyFill="1" applyBorder="1"/>
    <xf numFmtId="44" fontId="8" fillId="0" borderId="26" xfId="5" applyFont="1" applyFill="1" applyBorder="1"/>
    <xf numFmtId="44" fontId="8" fillId="4" borderId="26" xfId="5" applyFont="1" applyFill="1" applyBorder="1"/>
    <xf numFmtId="44" fontId="8" fillId="4" borderId="28" xfId="5" applyFont="1" applyFill="1" applyBorder="1"/>
    <xf numFmtId="44" fontId="7" fillId="0" borderId="26" xfId="5" applyFont="1" applyFill="1" applyBorder="1"/>
    <xf numFmtId="3" fontId="7" fillId="0" borderId="1" xfId="2" applyNumberFormat="1" applyFont="1" applyFill="1" applyBorder="1" applyAlignment="1">
      <alignment horizontal="right"/>
    </xf>
    <xf numFmtId="164" fontId="7" fillId="0" borderId="26" xfId="2" applyNumberFormat="1" applyFont="1" applyFill="1" applyBorder="1"/>
    <xf numFmtId="165" fontId="8" fillId="3" borderId="1" xfId="5" applyNumberFormat="1" applyFont="1" applyFill="1" applyBorder="1"/>
    <xf numFmtId="165" fontId="8" fillId="3" borderId="3" xfId="5" applyNumberFormat="1" applyFont="1" applyFill="1" applyBorder="1"/>
    <xf numFmtId="41" fontId="64" fillId="3" borderId="2" xfId="2" applyNumberFormat="1" applyFont="1" applyFill="1" applyBorder="1"/>
    <xf numFmtId="170" fontId="8" fillId="3" borderId="1" xfId="7" applyNumberFormat="1" applyFill="1" applyBorder="1"/>
    <xf numFmtId="165" fontId="7" fillId="3" borderId="1" xfId="5" applyNumberFormat="1" applyFont="1" applyFill="1" applyBorder="1"/>
    <xf numFmtId="0" fontId="8" fillId="0" borderId="0" xfId="7" applyFont="1"/>
    <xf numFmtId="165" fontId="8" fillId="0" borderId="0" xfId="7" applyNumberFormat="1" applyFill="1"/>
    <xf numFmtId="0" fontId="8" fillId="0" borderId="0" xfId="7" applyFill="1" applyAlignment="1">
      <alignment horizontal="center"/>
    </xf>
    <xf numFmtId="0" fontId="8" fillId="0" borderId="18" xfId="7" applyFill="1" applyBorder="1"/>
    <xf numFmtId="0" fontId="8" fillId="0" borderId="15" xfId="7" applyBorder="1"/>
    <xf numFmtId="0" fontId="8" fillId="0" borderId="15" xfId="7" applyFill="1" applyBorder="1"/>
    <xf numFmtId="0" fontId="8" fillId="0" borderId="0" xfId="7" applyFill="1" applyBorder="1"/>
    <xf numFmtId="169" fontId="9" fillId="0" borderId="1" xfId="7" applyNumberFormat="1" applyFont="1" applyBorder="1" applyProtection="1"/>
    <xf numFmtId="169" fontId="9" fillId="0" borderId="1" xfId="7" applyNumberFormat="1" applyFont="1" applyFill="1" applyBorder="1" applyProtection="1"/>
    <xf numFmtId="169" fontId="9" fillId="0" borderId="0" xfId="7" applyNumberFormat="1" applyFont="1" applyFill="1" applyProtection="1"/>
    <xf numFmtId="169" fontId="9" fillId="0" borderId="26" xfId="7" applyNumberFormat="1" applyFont="1" applyFill="1" applyBorder="1" applyProtection="1"/>
    <xf numFmtId="37" fontId="9" fillId="0" borderId="0" xfId="7" applyNumberFormat="1" applyFont="1" applyFill="1" applyAlignment="1" applyProtection="1">
      <alignment horizontal="centerContinuous"/>
    </xf>
    <xf numFmtId="37" fontId="9" fillId="0" borderId="5" xfId="7" applyNumberFormat="1" applyFont="1" applyFill="1" applyBorder="1" applyAlignment="1" applyProtection="1">
      <alignment horizontal="centerContinuous"/>
    </xf>
    <xf numFmtId="169" fontId="9" fillId="0" borderId="1" xfId="7" applyNumberFormat="1" applyFont="1" applyFill="1" applyBorder="1" applyAlignment="1" applyProtection="1">
      <alignment horizontal="center"/>
    </xf>
    <xf numFmtId="169" fontId="9" fillId="0" borderId="13" xfId="7" applyNumberFormat="1" applyFont="1" applyFill="1" applyBorder="1" applyProtection="1"/>
    <xf numFmtId="41" fontId="64" fillId="0" borderId="3" xfId="2" applyNumberFormat="1" applyFont="1" applyFill="1" applyBorder="1"/>
    <xf numFmtId="43" fontId="64" fillId="0" borderId="1" xfId="5" applyNumberFormat="1" applyFont="1" applyFill="1" applyBorder="1"/>
    <xf numFmtId="167" fontId="8" fillId="0" borderId="16" xfId="7" applyNumberFormat="1" applyFill="1" applyBorder="1"/>
    <xf numFmtId="167" fontId="8" fillId="0" borderId="16" xfId="7" applyNumberFormat="1" applyFont="1" applyFill="1" applyBorder="1"/>
    <xf numFmtId="167" fontId="8" fillId="0" borderId="1" xfId="7" applyNumberFormat="1" applyFill="1" applyBorder="1"/>
    <xf numFmtId="167" fontId="8" fillId="0" borderId="1" xfId="7" applyNumberFormat="1" applyFont="1" applyFill="1" applyBorder="1"/>
    <xf numFmtId="0" fontId="8" fillId="0" borderId="27" xfId="7" applyFill="1" applyBorder="1"/>
    <xf numFmtId="41" fontId="64" fillId="0" borderId="27" xfId="2" applyNumberFormat="1" applyFont="1" applyFill="1" applyBorder="1"/>
    <xf numFmtId="4" fontId="8" fillId="4" borderId="15" xfId="7" applyNumberFormat="1" applyFill="1" applyBorder="1"/>
    <xf numFmtId="43" fontId="64" fillId="0" borderId="15" xfId="5" applyNumberFormat="1" applyFont="1" applyFill="1" applyBorder="1"/>
    <xf numFmtId="167" fontId="8" fillId="0" borderId="15" xfId="7" applyNumberFormat="1" applyFill="1" applyBorder="1"/>
    <xf numFmtId="167" fontId="8" fillId="0" borderId="15" xfId="7" applyNumberFormat="1" applyFont="1" applyFill="1" applyBorder="1"/>
    <xf numFmtId="44" fontId="0" fillId="0" borderId="16" xfId="5" applyFont="1" applyBorder="1"/>
    <xf numFmtId="44" fontId="26" fillId="0" borderId="16" xfId="5" applyFont="1" applyFill="1" applyBorder="1"/>
    <xf numFmtId="44" fontId="26" fillId="0" borderId="25" xfId="5" applyFont="1" applyFill="1" applyBorder="1"/>
    <xf numFmtId="41" fontId="64" fillId="0" borderId="25" xfId="2" applyNumberFormat="1" applyFont="1" applyFill="1" applyBorder="1"/>
    <xf numFmtId="3" fontId="8" fillId="4" borderId="16" xfId="7" applyNumberFormat="1" applyFill="1" applyBorder="1"/>
    <xf numFmtId="43" fontId="64" fillId="0" borderId="16" xfId="5" applyNumberFormat="1" applyFont="1" applyFill="1" applyBorder="1"/>
    <xf numFmtId="44" fontId="0" fillId="0" borderId="1" xfId="5" applyFont="1" applyBorder="1"/>
    <xf numFmtId="44" fontId="0" fillId="0" borderId="1" xfId="5" applyFont="1" applyFill="1" applyBorder="1"/>
    <xf numFmtId="44" fontId="26" fillId="0" borderId="1" xfId="5" applyFont="1" applyFill="1" applyBorder="1"/>
    <xf numFmtId="44" fontId="8" fillId="0" borderId="3" xfId="5" applyFont="1" applyFill="1" applyBorder="1"/>
    <xf numFmtId="44" fontId="0" fillId="0" borderId="15" xfId="5" applyFont="1" applyBorder="1"/>
    <xf numFmtId="44" fontId="0" fillId="0" borderId="15" xfId="5" applyFont="1" applyFill="1" applyBorder="1"/>
    <xf numFmtId="44" fontId="8" fillId="0" borderId="15" xfId="5" applyFont="1" applyFill="1" applyBorder="1"/>
    <xf numFmtId="44" fontId="26" fillId="0" borderId="15" xfId="5" applyFont="1" applyFill="1" applyBorder="1"/>
    <xf numFmtId="44" fontId="8" fillId="0" borderId="27" xfId="5" applyFont="1" applyFill="1" applyBorder="1"/>
    <xf numFmtId="3" fontId="8" fillId="4" borderId="15" xfId="7" applyNumberFormat="1" applyFill="1" applyBorder="1"/>
    <xf numFmtId="167" fontId="7" fillId="0" borderId="25" xfId="5" applyNumberFormat="1" applyFont="1" applyFill="1" applyBorder="1"/>
    <xf numFmtId="44" fontId="8" fillId="0" borderId="0" xfId="7" applyNumberFormat="1" applyFill="1"/>
    <xf numFmtId="37" fontId="9" fillId="0" borderId="1" xfId="7" applyNumberFormat="1" applyFont="1" applyFill="1" applyBorder="1" applyAlignment="1" applyProtection="1">
      <alignment horizontal="centerContinuous"/>
    </xf>
    <xf numFmtId="4" fontId="8" fillId="0" borderId="0" xfId="0" applyNumberFormat="1" applyFont="1" applyFill="1" applyBorder="1"/>
    <xf numFmtId="0" fontId="8" fillId="0" borderId="3" xfId="7" applyFont="1" applyFill="1" applyBorder="1"/>
    <xf numFmtId="2" fontId="8" fillId="4" borderId="1" xfId="7" applyNumberFormat="1" applyFill="1" applyBorder="1"/>
    <xf numFmtId="43" fontId="64" fillId="0" borderId="1" xfId="2" applyNumberFormat="1" applyFont="1" applyFill="1" applyBorder="1"/>
    <xf numFmtId="0" fontId="8" fillId="0" borderId="15" xfId="7" applyFont="1" applyFill="1" applyBorder="1"/>
    <xf numFmtId="0" fontId="8" fillId="0" borderId="27" xfId="7" applyFont="1" applyFill="1" applyBorder="1"/>
    <xf numFmtId="2" fontId="8" fillId="4" borderId="15" xfId="7" applyNumberFormat="1" applyFill="1" applyBorder="1"/>
    <xf numFmtId="170" fontId="8" fillId="0" borderId="29" xfId="7" applyNumberFormat="1" applyFill="1" applyBorder="1"/>
    <xf numFmtId="2" fontId="8" fillId="4" borderId="29" xfId="7" applyNumberFormat="1" applyFill="1" applyBorder="1"/>
    <xf numFmtId="43" fontId="64" fillId="0" borderId="16" xfId="2" applyNumberFormat="1" applyFont="1" applyFill="1" applyBorder="1"/>
    <xf numFmtId="167" fontId="8" fillId="0" borderId="0" xfId="0" applyNumberFormat="1" applyFont="1" applyFill="1" applyBorder="1"/>
    <xf numFmtId="0" fontId="8" fillId="0" borderId="7" xfId="0" applyFont="1" applyFill="1" applyBorder="1"/>
    <xf numFmtId="37" fontId="7" fillId="0" borderId="0" xfId="0" applyNumberFormat="1" applyFont="1" applyFill="1" applyBorder="1" applyAlignment="1" applyProtection="1">
      <alignment horizontal="left"/>
    </xf>
    <xf numFmtId="169" fontId="0" fillId="0" borderId="0" xfId="0" applyNumberFormat="1" applyBorder="1"/>
    <xf numFmtId="169" fontId="0" fillId="0" borderId="0" xfId="0" applyNumberFormat="1"/>
    <xf numFmtId="2" fontId="8" fillId="0" borderId="1" xfId="7" applyNumberFormat="1" applyFill="1" applyBorder="1"/>
    <xf numFmtId="2" fontId="8" fillId="0" borderId="3" xfId="7" applyNumberFormat="1" applyFill="1" applyBorder="1"/>
    <xf numFmtId="41" fontId="64" fillId="0" borderId="1" xfId="2" applyNumberFormat="1" applyFont="1" applyFill="1" applyBorder="1"/>
    <xf numFmtId="173" fontId="8" fillId="4" borderId="1" xfId="7" applyNumberFormat="1" applyFill="1" applyBorder="1"/>
    <xf numFmtId="173" fontId="8" fillId="0" borderId="16" xfId="7" applyNumberFormat="1" applyFill="1" applyBorder="1"/>
    <xf numFmtId="173" fontId="7" fillId="0" borderId="16" xfId="7" applyNumberFormat="1" applyFont="1" applyFill="1" applyBorder="1"/>
    <xf numFmtId="41" fontId="64" fillId="0" borderId="16" xfId="2" applyNumberFormat="1" applyFont="1" applyFill="1" applyBorder="1"/>
    <xf numFmtId="173" fontId="8" fillId="0" borderId="1" xfId="7" applyNumberFormat="1" applyFill="1" applyBorder="1"/>
    <xf numFmtId="173" fontId="8" fillId="0" borderId="1" xfId="7" applyNumberFormat="1" applyFont="1" applyFill="1" applyBorder="1"/>
    <xf numFmtId="173" fontId="7" fillId="0" borderId="1" xfId="7" applyNumberFormat="1" applyFont="1" applyFill="1" applyBorder="1"/>
    <xf numFmtId="173" fontId="8" fillId="0" borderId="26" xfId="7" applyNumberFormat="1" applyFont="1" applyFill="1" applyBorder="1"/>
    <xf numFmtId="0" fontId="8" fillId="0" borderId="1" xfId="7" applyFill="1" applyBorder="1" applyAlignment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9" fontId="8" fillId="0" borderId="0" xfId="0" applyNumberFormat="1" applyFont="1" applyFill="1" applyBorder="1" applyAlignment="1" applyProtection="1">
      <alignment horizontal="left"/>
    </xf>
    <xf numFmtId="0" fontId="8" fillId="0" borderId="18" xfId="7" applyFont="1" applyFill="1" applyBorder="1" applyAlignment="1">
      <alignment horizontal="left"/>
    </xf>
    <xf numFmtId="0" fontId="8" fillId="0" borderId="18" xfId="7" applyFill="1" applyBorder="1" applyAlignment="1">
      <alignment horizontal="left"/>
    </xf>
    <xf numFmtId="2" fontId="8" fillId="0" borderId="18" xfId="7" applyNumberFormat="1" applyFill="1" applyBorder="1"/>
    <xf numFmtId="2" fontId="8" fillId="0" borderId="24" xfId="7" applyNumberFormat="1" applyFill="1" applyBorder="1"/>
    <xf numFmtId="2" fontId="8" fillId="0" borderId="15" xfId="7" applyNumberFormat="1" applyFill="1" applyBorder="1"/>
    <xf numFmtId="2" fontId="8" fillId="0" borderId="27" xfId="7" applyNumberFormat="1" applyFill="1" applyBorder="1"/>
    <xf numFmtId="173" fontId="8" fillId="4" borderId="15" xfId="7" applyNumberFormat="1" applyFill="1" applyBorder="1"/>
    <xf numFmtId="173" fontId="8" fillId="0" borderId="15" xfId="7" applyNumberFormat="1" applyFill="1" applyBorder="1"/>
    <xf numFmtId="173" fontId="8" fillId="0" borderId="15" xfId="7" applyNumberFormat="1" applyFont="1" applyFill="1" applyBorder="1"/>
    <xf numFmtId="173" fontId="7" fillId="0" borderId="15" xfId="7" applyNumberFormat="1" applyFont="1" applyFill="1" applyBorder="1"/>
    <xf numFmtId="0" fontId="65" fillId="0" borderId="0" xfId="7" applyFont="1"/>
    <xf numFmtId="0" fontId="8" fillId="0" borderId="16" xfId="7" applyFill="1" applyBorder="1"/>
    <xf numFmtId="2" fontId="8" fillId="0" borderId="30" xfId="7" applyNumberFormat="1" applyFill="1" applyBorder="1"/>
    <xf numFmtId="173" fontId="8" fillId="0" borderId="16" xfId="7" applyNumberFormat="1" applyFont="1" applyFill="1" applyBorder="1"/>
    <xf numFmtId="0" fontId="8" fillId="0" borderId="18" xfId="7" applyBorder="1" applyAlignment="1">
      <alignment horizontal="left"/>
    </xf>
    <xf numFmtId="0" fontId="8" fillId="0" borderId="18" xfId="7" applyBorder="1"/>
    <xf numFmtId="44" fontId="0" fillId="0" borderId="15" xfId="5" applyFont="1" applyFill="1" applyBorder="1" applyAlignment="1">
      <alignment horizontal="right"/>
    </xf>
    <xf numFmtId="44" fontId="8" fillId="0" borderId="15" xfId="5" applyFont="1" applyFill="1" applyBorder="1" applyAlignment="1">
      <alignment horizontal="right"/>
    </xf>
    <xf numFmtId="44" fontId="8" fillId="0" borderId="31" xfId="5" applyFont="1" applyFill="1" applyBorder="1" applyAlignment="1">
      <alignment horizontal="right"/>
    </xf>
    <xf numFmtId="44" fontId="0" fillId="0" borderId="31" xfId="5" applyFont="1" applyFill="1" applyBorder="1" applyAlignment="1">
      <alignment horizontal="right"/>
    </xf>
    <xf numFmtId="44" fontId="8" fillId="0" borderId="32" xfId="5" applyFont="1" applyFill="1" applyBorder="1" applyAlignment="1">
      <alignment horizontal="right"/>
    </xf>
    <xf numFmtId="41" fontId="64" fillId="0" borderId="33" xfId="2" applyNumberFormat="1" applyFont="1" applyFill="1" applyBorder="1"/>
    <xf numFmtId="170" fontId="8" fillId="0" borderId="33" xfId="7" applyNumberFormat="1" applyFill="1" applyBorder="1"/>
    <xf numFmtId="170" fontId="8" fillId="0" borderId="33" xfId="7" applyNumberFormat="1" applyFont="1" applyFill="1" applyBorder="1"/>
    <xf numFmtId="170" fontId="7" fillId="0" borderId="33" xfId="7" applyNumberFormat="1" applyFont="1" applyFill="1" applyBorder="1"/>
    <xf numFmtId="0" fontId="8" fillId="0" borderId="16" xfId="7" applyBorder="1"/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24" xfId="7" applyBorder="1" applyAlignment="1">
      <alignment horizontal="left"/>
    </xf>
    <xf numFmtId="0" fontId="8" fillId="0" borderId="61" xfId="7" applyBorder="1" applyAlignment="1">
      <alignment horizontal="left"/>
    </xf>
    <xf numFmtId="41" fontId="64" fillId="0" borderId="26" xfId="2" applyNumberFormat="1" applyFont="1" applyFill="1" applyBorder="1"/>
    <xf numFmtId="170" fontId="8" fillId="0" borderId="18" xfId="7" applyNumberFormat="1" applyFill="1" applyBorder="1"/>
    <xf numFmtId="173" fontId="8" fillId="4" borderId="18" xfId="7" applyNumberFormat="1" applyFill="1" applyBorder="1"/>
    <xf numFmtId="43" fontId="64" fillId="0" borderId="26" xfId="2" applyNumberFormat="1" applyFont="1" applyFill="1" applyBorder="1"/>
    <xf numFmtId="173" fontId="8" fillId="0" borderId="18" xfId="7" applyNumberFormat="1" applyFill="1" applyBorder="1"/>
    <xf numFmtId="173" fontId="8" fillId="0" borderId="18" xfId="7" applyNumberFormat="1" applyFont="1" applyFill="1" applyBorder="1"/>
    <xf numFmtId="44" fontId="8" fillId="0" borderId="27" xfId="5" applyFont="1" applyFill="1" applyBorder="1" applyAlignment="1">
      <alignment horizontal="right"/>
    </xf>
    <xf numFmtId="44" fontId="66" fillId="0" borderId="26" xfId="7" applyNumberFormat="1" applyFont="1" applyFill="1" applyBorder="1"/>
    <xf numFmtId="173" fontId="7" fillId="0" borderId="29" xfId="7" applyNumberFormat="1" applyFont="1" applyFill="1" applyBorder="1"/>
    <xf numFmtId="0" fontId="8" fillId="0" borderId="0" xfId="7" applyBorder="1" applyAlignment="1">
      <alignment horizontal="center"/>
    </xf>
    <xf numFmtId="41" fontId="64" fillId="0" borderId="0" xfId="2" applyNumberFormat="1" applyFont="1" applyFill="1" applyBorder="1"/>
    <xf numFmtId="170" fontId="8" fillId="0" borderId="0" xfId="7" applyNumberFormat="1" applyFill="1" applyBorder="1"/>
    <xf numFmtId="0" fontId="7" fillId="3" borderId="0" xfId="7" applyFont="1" applyFill="1" applyAlignment="1">
      <alignment horizontal="right"/>
    </xf>
    <xf numFmtId="0" fontId="8" fillId="3" borderId="0" xfId="7" applyFill="1"/>
    <xf numFmtId="44" fontId="66" fillId="3" borderId="0" xfId="7" applyNumberFormat="1" applyFont="1" applyFill="1"/>
    <xf numFmtId="44" fontId="66" fillId="3" borderId="26" xfId="7" applyNumberFormat="1" applyFont="1" applyFill="1" applyBorder="1"/>
    <xf numFmtId="170" fontId="8" fillId="3" borderId="0" xfId="7" applyNumberFormat="1" applyFill="1"/>
    <xf numFmtId="0" fontId="0" fillId="3" borderId="0" xfId="0" applyFill="1" applyBorder="1"/>
    <xf numFmtId="44" fontId="27" fillId="3" borderId="16" xfId="7" applyNumberFormat="1" applyFont="1" applyFill="1" applyBorder="1"/>
    <xf numFmtId="0" fontId="7" fillId="0" borderId="0" xfId="7" applyFont="1" applyAlignment="1">
      <alignment horizontal="right"/>
    </xf>
    <xf numFmtId="44" fontId="66" fillId="0" borderId="0" xfId="7" applyNumberFormat="1" applyFont="1" applyFill="1"/>
    <xf numFmtId="44" fontId="66" fillId="0" borderId="0" xfId="7" applyNumberFormat="1" applyFont="1" applyFill="1" applyBorder="1"/>
    <xf numFmtId="44" fontId="26" fillId="0" borderId="0" xfId="7" applyNumberFormat="1" applyFont="1" applyFill="1" applyBorder="1"/>
    <xf numFmtId="0" fontId="8" fillId="3" borderId="0" xfId="7" applyFill="1" applyAlignment="1">
      <alignment horizontal="right"/>
    </xf>
    <xf numFmtId="44" fontId="8" fillId="3" borderId="0" xfId="7" applyNumberFormat="1" applyFill="1"/>
    <xf numFmtId="44" fontId="27" fillId="3" borderId="31" xfId="7" applyNumberFormat="1" applyFont="1" applyFill="1" applyBorder="1"/>
    <xf numFmtId="167" fontId="0" fillId="0" borderId="0" xfId="0" applyNumberFormat="1"/>
    <xf numFmtId="44" fontId="0" fillId="0" borderId="0" xfId="0" applyNumberFormat="1" applyFill="1"/>
    <xf numFmtId="42" fontId="53" fillId="0" borderId="109" xfId="0" applyNumberFormat="1" applyFont="1" applyFill="1" applyBorder="1"/>
    <xf numFmtId="164" fontId="24" fillId="0" borderId="0" xfId="2" applyNumberFormat="1" applyFont="1" applyBorder="1"/>
    <xf numFmtId="0" fontId="7" fillId="0" borderId="1" xfId="6" applyFont="1" applyBorder="1"/>
    <xf numFmtId="164" fontId="24" fillId="0" borderId="3" xfId="2" applyNumberFormat="1" applyFont="1" applyBorder="1"/>
    <xf numFmtId="164" fontId="7" fillId="0" borderId="0" xfId="2" applyNumberFormat="1" applyFont="1" applyFill="1" applyBorder="1" applyProtection="1"/>
    <xf numFmtId="164" fontId="24" fillId="0" borderId="0" xfId="2" applyNumberFormat="1" applyFont="1" applyFill="1" applyBorder="1"/>
    <xf numFmtId="0" fontId="24" fillId="0" borderId="0" xfId="6" applyFont="1"/>
    <xf numFmtId="164" fontId="24" fillId="0" borderId="19" xfId="2" applyNumberFormat="1" applyFont="1" applyBorder="1"/>
    <xf numFmtId="164" fontId="24" fillId="0" borderId="93" xfId="2" applyNumberFormat="1" applyFont="1" applyFill="1" applyBorder="1"/>
    <xf numFmtId="0" fontId="24" fillId="0" borderId="17" xfId="6" applyFont="1" applyBorder="1"/>
    <xf numFmtId="164" fontId="28" fillId="0" borderId="0" xfId="2" applyNumberFormat="1" applyFont="1"/>
    <xf numFmtId="164" fontId="28" fillId="4" borderId="24" xfId="2" applyNumberFormat="1" applyFont="1" applyFill="1" applyBorder="1"/>
    <xf numFmtId="164" fontId="25" fillId="0" borderId="0" xfId="2" applyNumberFormat="1" applyFont="1" applyFill="1" applyBorder="1"/>
    <xf numFmtId="0" fontId="25" fillId="0" borderId="0" xfId="6" applyFont="1"/>
    <xf numFmtId="164" fontId="47" fillId="0" borderId="0" xfId="2" applyNumberFormat="1" applyFont="1"/>
    <xf numFmtId="164" fontId="25" fillId="0" borderId="1" xfId="2" applyNumberFormat="1" applyFont="1" applyBorder="1"/>
    <xf numFmtId="0" fontId="7" fillId="0" borderId="34" xfId="6" applyFont="1" applyBorder="1" applyAlignment="1">
      <alignment horizontal="left"/>
    </xf>
    <xf numFmtId="164" fontId="28" fillId="0" borderId="0" xfId="2" applyNumberFormat="1" applyFont="1" applyBorder="1"/>
    <xf numFmtId="164" fontId="47" fillId="0" borderId="0" xfId="2" applyNumberFormat="1" applyFont="1" applyFill="1" applyBorder="1"/>
    <xf numFmtId="164" fontId="8" fillId="0" borderId="64" xfId="6" applyNumberFormat="1" applyBorder="1"/>
    <xf numFmtId="164" fontId="25" fillId="0" borderId="53" xfId="6" applyNumberFormat="1" applyFont="1" applyBorder="1"/>
    <xf numFmtId="164" fontId="8" fillId="0" borderId="65" xfId="6" applyNumberFormat="1" applyBorder="1"/>
    <xf numFmtId="164" fontId="8" fillId="0" borderId="0" xfId="2" applyNumberFormat="1" applyFont="1" applyFill="1" applyBorder="1" applyProtection="1"/>
    <xf numFmtId="164" fontId="24" fillId="2" borderId="19" xfId="2" applyNumberFormat="1" applyFont="1" applyFill="1" applyBorder="1"/>
    <xf numFmtId="164" fontId="24" fillId="0" borderId="0" xfId="2" applyNumberFormat="1" applyFont="1"/>
    <xf numFmtId="164" fontId="24" fillId="0" borderId="20" xfId="2" applyNumberFormat="1" applyFont="1" applyBorder="1"/>
    <xf numFmtId="0" fontId="8" fillId="0" borderId="16" xfId="6" applyBorder="1"/>
    <xf numFmtId="164" fontId="69" fillId="0" borderId="16" xfId="2" applyNumberFormat="1" applyFont="1" applyBorder="1"/>
    <xf numFmtId="0" fontId="8" fillId="0" borderId="15" xfId="6" applyBorder="1"/>
    <xf numFmtId="0" fontId="24" fillId="2" borderId="19" xfId="6" applyFont="1" applyFill="1" applyBorder="1"/>
    <xf numFmtId="164" fontId="24" fillId="2" borderId="20" xfId="2" applyNumberFormat="1" applyFont="1" applyFill="1" applyBorder="1"/>
    <xf numFmtId="0" fontId="24" fillId="0" borderId="29" xfId="6" applyFont="1" applyBorder="1"/>
    <xf numFmtId="164" fontId="24" fillId="0" borderId="67" xfId="2" applyNumberFormat="1" applyFont="1" applyBorder="1"/>
    <xf numFmtId="164" fontId="7" fillId="7" borderId="1" xfId="2" applyNumberFormat="1" applyFont="1" applyFill="1" applyBorder="1"/>
    <xf numFmtId="164" fontId="7" fillId="0" borderId="64" xfId="2" applyNumberFormat="1" applyFont="1" applyBorder="1"/>
    <xf numFmtId="10" fontId="43" fillId="0" borderId="51" xfId="10" applyNumberFormat="1" applyFont="1" applyBorder="1"/>
    <xf numFmtId="0" fontId="7" fillId="0" borderId="0" xfId="7" applyFont="1" applyAlignment="1">
      <alignment horizontal="center"/>
    </xf>
    <xf numFmtId="164" fontId="7" fillId="0" borderId="0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/>
    <xf numFmtId="170" fontId="0" fillId="0" borderId="0" xfId="0" applyNumberFormat="1"/>
    <xf numFmtId="0" fontId="7" fillId="0" borderId="1" xfId="0" applyFont="1" applyFill="1" applyBorder="1"/>
    <xf numFmtId="37" fontId="61" fillId="0" borderId="0" xfId="0" applyNumberFormat="1" applyFont="1" applyFill="1" applyBorder="1" applyAlignment="1" applyProtection="1">
      <alignment horizontal="left"/>
    </xf>
    <xf numFmtId="0" fontId="18" fillId="0" borderId="0" xfId="0" applyFont="1"/>
    <xf numFmtId="37" fontId="8" fillId="8" borderId="1" xfId="0" applyNumberFormat="1" applyFont="1" applyFill="1" applyBorder="1" applyAlignment="1" applyProtection="1">
      <alignment horizontal="left"/>
    </xf>
    <xf numFmtId="164" fontId="8" fillId="8" borderId="1" xfId="1" applyNumberFormat="1" applyFont="1" applyFill="1" applyBorder="1"/>
    <xf numFmtId="164" fontId="8" fillId="8" borderId="115" xfId="1" applyNumberFormat="1" applyFont="1" applyFill="1" applyBorder="1"/>
    <xf numFmtId="164" fontId="8" fillId="8" borderId="2" xfId="1" applyNumberFormat="1" applyFont="1" applyFill="1" applyBorder="1"/>
    <xf numFmtId="164" fontId="8" fillId="0" borderId="0" xfId="1" applyNumberFormat="1" applyFont="1" applyFill="1" applyBorder="1"/>
    <xf numFmtId="170" fontId="0" fillId="0" borderId="0" xfId="1" applyNumberFormat="1" applyFont="1"/>
    <xf numFmtId="37" fontId="0" fillId="0" borderId="1" xfId="0" applyNumberFormat="1" applyFill="1" applyBorder="1" applyAlignment="1" applyProtection="1">
      <alignment horizontal="left"/>
    </xf>
    <xf numFmtId="164" fontId="8" fillId="0" borderId="0" xfId="1" applyNumberFormat="1" applyFont="1"/>
    <xf numFmtId="164" fontId="0" fillId="0" borderId="0" xfId="1" applyNumberFormat="1" applyFont="1" applyFill="1"/>
    <xf numFmtId="164" fontId="8" fillId="0" borderId="0" xfId="1" applyNumberFormat="1" applyFont="1" applyFill="1" applyBorder="1" applyProtection="1"/>
    <xf numFmtId="164" fontId="0" fillId="0" borderId="0" xfId="0" applyNumberFormat="1" applyFill="1"/>
    <xf numFmtId="37" fontId="8" fillId="2" borderId="1" xfId="0" applyNumberFormat="1" applyFont="1" applyFill="1" applyBorder="1" applyAlignment="1" applyProtection="1">
      <alignment horizontal="left"/>
    </xf>
    <xf numFmtId="37" fontId="8" fillId="0" borderId="3" xfId="0" applyNumberFormat="1" applyFont="1" applyFill="1" applyBorder="1" applyAlignment="1" applyProtection="1">
      <alignment horizontal="left"/>
    </xf>
    <xf numFmtId="164" fontId="8" fillId="0" borderId="5" xfId="1" applyNumberFormat="1" applyFont="1" applyFill="1" applyBorder="1"/>
    <xf numFmtId="0" fontId="7" fillId="0" borderId="1" xfId="0" applyFont="1" applyBorder="1"/>
    <xf numFmtId="164" fontId="8" fillId="0" borderId="1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164" fontId="7" fillId="10" borderId="0" xfId="1" applyNumberFormat="1" applyFont="1" applyFill="1"/>
    <xf numFmtId="164" fontId="8" fillId="10" borderId="0" xfId="1" applyNumberFormat="1" applyFont="1" applyFill="1"/>
    <xf numFmtId="164" fontId="7" fillId="0" borderId="0" xfId="1" applyNumberFormat="1" applyFont="1"/>
    <xf numFmtId="164" fontId="29" fillId="0" borderId="0" xfId="1" applyNumberFormat="1" applyFont="1"/>
    <xf numFmtId="164" fontId="8" fillId="2" borderId="0" xfId="1" applyNumberFormat="1" applyFont="1" applyFill="1"/>
    <xf numFmtId="37" fontId="0" fillId="0" borderId="0" xfId="0" applyNumberFormat="1" applyFill="1" applyBorder="1" applyAlignment="1" applyProtection="1">
      <alignment horizontal="left"/>
    </xf>
    <xf numFmtId="164" fontId="0" fillId="0" borderId="36" xfId="1" applyNumberFormat="1" applyFont="1" applyBorder="1"/>
    <xf numFmtId="164" fontId="0" fillId="0" borderId="57" xfId="1" applyNumberFormat="1" applyFont="1" applyBorder="1"/>
    <xf numFmtId="0" fontId="8" fillId="0" borderId="34" xfId="0" applyFont="1" applyBorder="1"/>
    <xf numFmtId="164" fontId="0" fillId="0" borderId="51" xfId="1" applyNumberFormat="1" applyFont="1" applyBorder="1"/>
    <xf numFmtId="0" fontId="0" fillId="0" borderId="34" xfId="0" applyBorder="1"/>
    <xf numFmtId="0" fontId="0" fillId="0" borderId="62" xfId="0" applyBorder="1"/>
    <xf numFmtId="164" fontId="0" fillId="0" borderId="21" xfId="1" applyNumberFormat="1" applyFont="1" applyBorder="1"/>
    <xf numFmtId="164" fontId="0" fillId="0" borderId="105" xfId="1" applyNumberFormat="1" applyFont="1" applyBorder="1"/>
    <xf numFmtId="170" fontId="0" fillId="0" borderId="0" xfId="0" applyNumberFormat="1" applyFill="1"/>
    <xf numFmtId="37" fontId="8" fillId="4" borderId="1" xfId="0" applyNumberFormat="1" applyFont="1" applyFill="1" applyBorder="1" applyAlignment="1" applyProtection="1">
      <alignment horizontal="left"/>
    </xf>
    <xf numFmtId="164" fontId="0" fillId="4" borderId="1" xfId="1" applyNumberFormat="1" applyFont="1" applyFill="1" applyBorder="1"/>
    <xf numFmtId="164" fontId="0" fillId="4" borderId="115" xfId="1" applyNumberFormat="1" applyFont="1" applyFill="1" applyBorder="1"/>
    <xf numFmtId="164" fontId="0" fillId="4" borderId="2" xfId="1" applyNumberFormat="1" applyFont="1" applyFill="1" applyBorder="1"/>
    <xf numFmtId="37" fontId="0" fillId="4" borderId="1" xfId="0" applyNumberFormat="1" applyFill="1" applyBorder="1" applyAlignment="1" applyProtection="1">
      <alignment horizontal="left"/>
    </xf>
    <xf numFmtId="164" fontId="8" fillId="4" borderId="115" xfId="1" applyNumberFormat="1" applyFont="1" applyFill="1" applyBorder="1"/>
    <xf numFmtId="164" fontId="8" fillId="4" borderId="2" xfId="1" applyNumberFormat="1" applyFont="1" applyFill="1" applyBorder="1"/>
    <xf numFmtId="164" fontId="43" fillId="0" borderId="36" xfId="2" applyNumberFormat="1" applyFont="1" applyFill="1" applyBorder="1"/>
    <xf numFmtId="164" fontId="43" fillId="5" borderId="36" xfId="2" applyNumberFormat="1" applyFont="1" applyFill="1" applyBorder="1"/>
    <xf numFmtId="164" fontId="43" fillId="5" borderId="57" xfId="2" applyNumberFormat="1" applyFont="1" applyFill="1" applyBorder="1"/>
    <xf numFmtId="164" fontId="43" fillId="0" borderId="0" xfId="2" applyNumberFormat="1" applyFont="1"/>
    <xf numFmtId="164" fontId="43" fillId="0" borderId="0" xfId="2" applyNumberFormat="1" applyFont="1" applyBorder="1"/>
    <xf numFmtId="164" fontId="43" fillId="0" borderId="0" xfId="2" applyNumberFormat="1" applyFont="1" applyFill="1" applyBorder="1"/>
    <xf numFmtId="164" fontId="43" fillId="5" borderId="0" xfId="2" applyNumberFormat="1" applyFont="1" applyFill="1" applyBorder="1"/>
    <xf numFmtId="164" fontId="43" fillId="5" borderId="51" xfId="2" applyNumberFormat="1" applyFont="1" applyFill="1" applyBorder="1"/>
    <xf numFmtId="164" fontId="43" fillId="0" borderId="0" xfId="2" applyNumberFormat="1" applyFont="1" applyFill="1"/>
    <xf numFmtId="164" fontId="43" fillId="0" borderId="51" xfId="2" applyNumberFormat="1" applyFont="1" applyFill="1" applyBorder="1"/>
    <xf numFmtId="0" fontId="7" fillId="4" borderId="0" xfId="7" applyFont="1" applyFill="1"/>
    <xf numFmtId="164" fontId="43" fillId="4" borderId="0" xfId="2" applyNumberFormat="1" applyFont="1" applyFill="1"/>
    <xf numFmtId="164" fontId="7" fillId="5" borderId="16" xfId="1" applyNumberFormat="1" applyFont="1" applyFill="1" applyBorder="1"/>
    <xf numFmtId="3" fontId="7" fillId="5" borderId="16" xfId="1" applyNumberFormat="1" applyFont="1" applyFill="1" applyBorder="1"/>
    <xf numFmtId="164" fontId="8" fillId="5" borderId="31" xfId="1" applyNumberFormat="1" applyFont="1" applyFill="1" applyBorder="1"/>
    <xf numFmtId="43" fontId="8" fillId="5" borderId="31" xfId="1" applyFont="1" applyFill="1" applyBorder="1"/>
    <xf numFmtId="37" fontId="7" fillId="5" borderId="31" xfId="1" applyNumberFormat="1" applyFont="1" applyFill="1" applyBorder="1"/>
    <xf numFmtId="37" fontId="7" fillId="5" borderId="15" xfId="1" applyNumberFormat="1" applyFont="1" applyFill="1" applyBorder="1"/>
    <xf numFmtId="164" fontId="8" fillId="0" borderId="116" xfId="1" applyNumberFormat="1" applyFont="1" applyFill="1" applyBorder="1"/>
    <xf numFmtId="43" fontId="8" fillId="0" borderId="116" xfId="1" applyFont="1" applyFill="1" applyBorder="1"/>
    <xf numFmtId="37" fontId="7" fillId="5" borderId="97" xfId="1" applyNumberFormat="1" applyFont="1" applyFill="1" applyBorder="1"/>
    <xf numFmtId="164" fontId="8" fillId="5" borderId="117" xfId="1" applyNumberFormat="1" applyFont="1" applyFill="1" applyBorder="1"/>
    <xf numFmtId="43" fontId="8" fillId="5" borderId="117" xfId="1" applyFont="1" applyFill="1" applyBorder="1"/>
    <xf numFmtId="37" fontId="29" fillId="4" borderId="1" xfId="1" applyNumberFormat="1" applyFont="1" applyFill="1" applyBorder="1" applyAlignment="1">
      <alignment wrapText="1"/>
    </xf>
    <xf numFmtId="164" fontId="7" fillId="4" borderId="1" xfId="1" applyNumberFormat="1" applyFont="1" applyFill="1" applyBorder="1"/>
    <xf numFmtId="43" fontId="8" fillId="4" borderId="1" xfId="1" applyFont="1" applyFill="1" applyBorder="1"/>
    <xf numFmtId="3" fontId="13" fillId="4" borderId="1" xfId="1" applyNumberFormat="1" applyFont="1" applyFill="1" applyBorder="1" applyAlignment="1">
      <alignment wrapText="1"/>
    </xf>
    <xf numFmtId="3" fontId="7" fillId="4" borderId="18" xfId="1" applyNumberFormat="1" applyFont="1" applyFill="1" applyBorder="1"/>
    <xf numFmtId="164" fontId="7" fillId="0" borderId="1" xfId="1" applyNumberFormat="1" applyFont="1" applyFill="1" applyBorder="1" applyAlignment="1">
      <alignment horizontal="centerContinuous"/>
    </xf>
    <xf numFmtId="164" fontId="7" fillId="0" borderId="1" xfId="1" applyNumberFormat="1" applyFont="1" applyFill="1" applyBorder="1"/>
    <xf numFmtId="164" fontId="7" fillId="0" borderId="115" xfId="1" applyNumberFormat="1" applyFont="1" applyFill="1" applyBorder="1"/>
    <xf numFmtId="164" fontId="7" fillId="0" borderId="2" xfId="1" applyNumberFormat="1" applyFont="1" applyFill="1" applyBorder="1"/>
    <xf numFmtId="164" fontId="8" fillId="0" borderId="26" xfId="1" applyNumberFormat="1" applyFont="1" applyFill="1" applyBorder="1" applyAlignment="1">
      <alignment horizontal="left"/>
    </xf>
    <xf numFmtId="164" fontId="8" fillId="0" borderId="26" xfId="1" applyNumberFormat="1" applyFont="1" applyFill="1" applyBorder="1" applyAlignment="1"/>
    <xf numFmtId="164" fontId="8" fillId="0" borderId="26" xfId="1" applyNumberFormat="1" applyFont="1" applyFill="1" applyBorder="1" applyAlignment="1">
      <alignment horizontal="left" vertical="center"/>
    </xf>
    <xf numFmtId="3" fontId="8" fillId="5" borderId="1" xfId="1" applyNumberFormat="1" applyFont="1" applyFill="1" applyBorder="1"/>
    <xf numFmtId="0" fontId="7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7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8" fillId="0" borderId="4" xfId="0" applyNumberFormat="1" applyFont="1" applyFill="1" applyBorder="1"/>
    <xf numFmtId="3" fontId="8" fillId="2" borderId="4" xfId="0" applyNumberFormat="1" applyFont="1" applyFill="1" applyBorder="1"/>
    <xf numFmtId="164" fontId="8" fillId="2" borderId="0" xfId="0" applyNumberFormat="1" applyFont="1" applyFill="1"/>
    <xf numFmtId="164" fontId="8" fillId="0" borderId="0" xfId="0" applyNumberFormat="1" applyFont="1"/>
    <xf numFmtId="0" fontId="8" fillId="2" borderId="0" xfId="0" applyFont="1" applyFill="1"/>
    <xf numFmtId="164" fontId="8" fillId="2" borderId="0" xfId="0" applyNumberFormat="1" applyFont="1" applyFill="1" applyBorder="1"/>
    <xf numFmtId="0" fontId="8" fillId="0" borderId="4" xfId="0" applyFont="1" applyFill="1" applyBorder="1"/>
    <xf numFmtId="0" fontId="8" fillId="2" borderId="4" xfId="0" applyFont="1" applyFill="1" applyBorder="1"/>
    <xf numFmtId="164" fontId="8" fillId="0" borderId="4" xfId="1" applyNumberFormat="1" applyFont="1" applyFill="1" applyBorder="1"/>
    <xf numFmtId="164" fontId="8" fillId="2" borderId="4" xfId="1" applyNumberFormat="1" applyFont="1" applyFill="1" applyBorder="1"/>
    <xf numFmtId="164" fontId="8" fillId="0" borderId="4" xfId="0" applyNumberFormat="1" applyFont="1" applyFill="1" applyBorder="1"/>
    <xf numFmtId="164" fontId="8" fillId="2" borderId="4" xfId="0" applyNumberFormat="1" applyFont="1" applyFill="1" applyBorder="1"/>
    <xf numFmtId="0" fontId="24" fillId="0" borderId="0" xfId="0" applyFont="1"/>
    <xf numFmtId="37" fontId="7" fillId="0" borderId="0" xfId="0" applyNumberFormat="1" applyFont="1" applyFill="1" applyAlignment="1" applyProtection="1">
      <alignment horizontal="left"/>
    </xf>
    <xf numFmtId="164" fontId="7" fillId="2" borderId="0" xfId="1" applyNumberFormat="1" applyFont="1" applyFill="1"/>
    <xf numFmtId="164" fontId="7" fillId="0" borderId="0" xfId="0" applyNumberFormat="1" applyFont="1"/>
    <xf numFmtId="3" fontId="8" fillId="2" borderId="0" xfId="0" applyNumberFormat="1" applyFont="1" applyFill="1" applyBorder="1"/>
    <xf numFmtId="3" fontId="8" fillId="0" borderId="0" xfId="0" applyNumberFormat="1" applyFont="1" applyFill="1" applyBorder="1"/>
    <xf numFmtId="0" fontId="8" fillId="0" borderId="5" xfId="0" applyFont="1" applyFill="1" applyBorder="1"/>
    <xf numFmtId="0" fontId="8" fillId="2" borderId="5" xfId="0" applyFont="1" applyFill="1" applyBorder="1"/>
    <xf numFmtId="164" fontId="8" fillId="0" borderId="5" xfId="0" applyNumberFormat="1" applyFont="1" applyFill="1" applyBorder="1"/>
    <xf numFmtId="164" fontId="8" fillId="2" borderId="5" xfId="0" applyNumberFormat="1" applyFont="1" applyFill="1" applyBorder="1"/>
    <xf numFmtId="164" fontId="7" fillId="0" borderId="0" xfId="0" applyNumberFormat="1" applyFont="1" applyFill="1" applyBorder="1"/>
    <xf numFmtId="16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0" borderId="4" xfId="0" applyFill="1" applyBorder="1"/>
    <xf numFmtId="0" fontId="0" fillId="2" borderId="4" xfId="0" applyFill="1" applyBorder="1"/>
    <xf numFmtId="164" fontId="7" fillId="2" borderId="108" xfId="1" applyNumberFormat="1" applyFont="1" applyFill="1" applyBorder="1" applyProtection="1"/>
    <xf numFmtId="164" fontId="7" fillId="0" borderId="0" xfId="1" applyNumberFormat="1" applyFont="1" applyFill="1" applyBorder="1" applyProtection="1"/>
    <xf numFmtId="37" fontId="10" fillId="3" borderId="0" xfId="0" applyNumberFormat="1" applyFont="1" applyFill="1" applyAlignment="1" applyProtection="1">
      <alignment horizontal="left"/>
    </xf>
    <xf numFmtId="0" fontId="7" fillId="3" borderId="0" xfId="0" applyFont="1" applyFill="1"/>
    <xf numFmtId="37" fontId="7" fillId="3" borderId="8" xfId="0" applyNumberFormat="1" applyFont="1" applyFill="1" applyBorder="1" applyProtection="1"/>
    <xf numFmtId="37" fontId="7" fillId="2" borderId="8" xfId="0" applyNumberFormat="1" applyFont="1" applyFill="1" applyBorder="1" applyProtection="1"/>
    <xf numFmtId="37" fontId="7" fillId="0" borderId="0" xfId="0" applyNumberFormat="1" applyFont="1" applyFill="1" applyBorder="1" applyProtection="1"/>
    <xf numFmtId="37" fontId="0" fillId="0" borderId="0" xfId="0" applyNumberFormat="1" applyFill="1"/>
    <xf numFmtId="37" fontId="71" fillId="0" borderId="0" xfId="0" applyNumberFormat="1" applyFont="1" applyFill="1" applyAlignment="1" applyProtection="1">
      <alignment horizontal="left"/>
    </xf>
    <xf numFmtId="0" fontId="8" fillId="4" borderId="1" xfId="0" applyFont="1" applyFill="1" applyBorder="1"/>
    <xf numFmtId="164" fontId="8" fillId="4" borderId="1" xfId="1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3" fontId="8" fillId="5" borderId="1" xfId="0" applyNumberFormat="1" applyFont="1" applyFill="1" applyBorder="1"/>
    <xf numFmtId="164" fontId="8" fillId="5" borderId="1" xfId="0" applyNumberFormat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164" fontId="7" fillId="5" borderId="1" xfId="1" applyNumberFormat="1" applyFont="1" applyFill="1" applyBorder="1" applyProtection="1"/>
    <xf numFmtId="37" fontId="7" fillId="5" borderId="1" xfId="0" applyNumberFormat="1" applyFont="1" applyFill="1" applyBorder="1" applyProtection="1"/>
    <xf numFmtId="0" fontId="0" fillId="5" borderId="0" xfId="0" applyFill="1" applyBorder="1"/>
    <xf numFmtId="0" fontId="7" fillId="5" borderId="2" xfId="0" applyFont="1" applyFill="1" applyBorder="1" applyAlignment="1">
      <alignment horizontal="center"/>
    </xf>
    <xf numFmtId="3" fontId="8" fillId="5" borderId="2" xfId="0" applyNumberFormat="1" applyFont="1" applyFill="1" applyBorder="1"/>
    <xf numFmtId="164" fontId="8" fillId="5" borderId="2" xfId="0" applyNumberFormat="1" applyFont="1" applyFill="1" applyBorder="1"/>
    <xf numFmtId="164" fontId="7" fillId="5" borderId="2" xfId="1" applyNumberFormat="1" applyFont="1" applyFill="1" applyBorder="1"/>
    <xf numFmtId="164" fontId="7" fillId="5" borderId="2" xfId="1" applyNumberFormat="1" applyFont="1" applyFill="1" applyBorder="1" applyProtection="1"/>
    <xf numFmtId="37" fontId="7" fillId="5" borderId="2" xfId="0" applyNumberFormat="1" applyFont="1" applyFill="1" applyBorder="1" applyProtection="1"/>
    <xf numFmtId="37" fontId="0" fillId="5" borderId="0" xfId="0" applyNumberFormat="1" applyFill="1" applyBorder="1"/>
    <xf numFmtId="164" fontId="7" fillId="0" borderId="0" xfId="0" applyNumberFormat="1" applyFont="1" applyFill="1"/>
    <xf numFmtId="164" fontId="7" fillId="2" borderId="0" xfId="0" applyNumberFormat="1" applyFont="1" applyFill="1"/>
    <xf numFmtId="164" fontId="7" fillId="5" borderId="1" xfId="0" applyNumberFormat="1" applyFont="1" applyFill="1" applyBorder="1"/>
    <xf numFmtId="164" fontId="7" fillId="5" borderId="2" xfId="0" applyNumberFormat="1" applyFont="1" applyFill="1" applyBorder="1"/>
    <xf numFmtId="164" fontId="7" fillId="2" borderId="0" xfId="1" applyNumberFormat="1" applyFont="1" applyFill="1" applyBorder="1" applyProtection="1"/>
    <xf numFmtId="164" fontId="8" fillId="4" borderId="1" xfId="0" applyNumberFormat="1" applyFont="1" applyFill="1" applyBorder="1"/>
    <xf numFmtId="164" fontId="8" fillId="4" borderId="2" xfId="0" applyNumberFormat="1" applyFont="1" applyFill="1" applyBorder="1"/>
    <xf numFmtId="164" fontId="8" fillId="4" borderId="0" xfId="0" applyNumberFormat="1" applyFont="1" applyFill="1" applyBorder="1"/>
    <xf numFmtId="0" fontId="0" fillId="4" borderId="0" xfId="0" applyFill="1"/>
    <xf numFmtId="0" fontId="7" fillId="6" borderId="1" xfId="0" applyFont="1" applyFill="1" applyBorder="1" applyAlignment="1">
      <alignment horizontal="center"/>
    </xf>
    <xf numFmtId="3" fontId="8" fillId="6" borderId="1" xfId="0" applyNumberFormat="1" applyFont="1" applyFill="1" applyBorder="1"/>
    <xf numFmtId="164" fontId="7" fillId="6" borderId="1" xfId="1" applyNumberFormat="1" applyFont="1" applyFill="1" applyBorder="1"/>
    <xf numFmtId="164" fontId="8" fillId="6" borderId="1" xfId="0" applyNumberFormat="1" applyFont="1" applyFill="1" applyBorder="1"/>
    <xf numFmtId="164" fontId="7" fillId="6" borderId="1" xfId="0" applyNumberFormat="1" applyFont="1" applyFill="1" applyBorder="1"/>
    <xf numFmtId="0" fontId="0" fillId="6" borderId="1" xfId="0" applyFill="1" applyBorder="1"/>
    <xf numFmtId="164" fontId="7" fillId="6" borderId="1" xfId="1" applyNumberFormat="1" applyFont="1" applyFill="1" applyBorder="1" applyProtection="1"/>
    <xf numFmtId="37" fontId="7" fillId="6" borderId="1" xfId="0" applyNumberFormat="1" applyFont="1" applyFill="1" applyBorder="1" applyProtection="1"/>
    <xf numFmtId="0" fontId="0" fillId="0" borderId="0" xfId="0" applyAlignment="1">
      <alignment horizontal="left"/>
    </xf>
    <xf numFmtId="164" fontId="25" fillId="4" borderId="1" xfId="1" applyNumberFormat="1" applyFont="1" applyFill="1" applyBorder="1"/>
    <xf numFmtId="164" fontId="54" fillId="4" borderId="1" xfId="1" applyNumberFormat="1" applyFont="1" applyFill="1" applyBorder="1"/>
    <xf numFmtId="164" fontId="47" fillId="4" borderId="1" xfId="1" applyNumberFormat="1" applyFont="1" applyFill="1" applyBorder="1"/>
    <xf numFmtId="0" fontId="7" fillId="3" borderId="1" xfId="7" applyFont="1" applyFill="1" applyBorder="1"/>
    <xf numFmtId="0" fontId="8" fillId="3" borderId="1" xfId="7" applyFill="1" applyBorder="1" applyAlignment="1">
      <alignment horizontal="right"/>
    </xf>
    <xf numFmtId="164" fontId="8" fillId="3" borderId="1" xfId="2" applyNumberFormat="1" applyFont="1" applyFill="1" applyBorder="1"/>
    <xf numFmtId="44" fontId="8" fillId="3" borderId="1" xfId="5" applyFont="1" applyFill="1" applyBorder="1"/>
    <xf numFmtId="164" fontId="8" fillId="3" borderId="115" xfId="2" applyNumberFormat="1" applyFont="1" applyFill="1" applyBorder="1"/>
    <xf numFmtId="164" fontId="72" fillId="3" borderId="115" xfId="2" applyNumberFormat="1" applyFont="1" applyFill="1" applyBorder="1"/>
    <xf numFmtId="164" fontId="72" fillId="3" borderId="58" xfId="2" applyNumberFormat="1" applyFont="1" applyFill="1" applyBorder="1"/>
    <xf numFmtId="164" fontId="72" fillId="3" borderId="2" xfId="2" applyNumberFormat="1" applyFont="1" applyFill="1" applyBorder="1"/>
    <xf numFmtId="164" fontId="72" fillId="3" borderId="1" xfId="2" applyNumberFormat="1" applyFont="1" applyFill="1" applyBorder="1"/>
    <xf numFmtId="164" fontId="72" fillId="3" borderId="120" xfId="2" applyNumberFormat="1" applyFont="1" applyFill="1" applyBorder="1"/>
    <xf numFmtId="164" fontId="72" fillId="3" borderId="47" xfId="2" applyNumberFormat="1" applyFont="1" applyFill="1" applyBorder="1"/>
    <xf numFmtId="44" fontId="8" fillId="0" borderId="115" xfId="5" applyFont="1" applyFill="1" applyBorder="1"/>
    <xf numFmtId="164" fontId="72" fillId="0" borderId="115" xfId="2" applyNumberFormat="1" applyFont="1" applyFill="1" applyBorder="1"/>
    <xf numFmtId="164" fontId="72" fillId="0" borderId="58" xfId="2" applyNumberFormat="1" applyFont="1" applyFill="1" applyBorder="1"/>
    <xf numFmtId="164" fontId="72" fillId="0" borderId="2" xfId="2" applyNumberFormat="1" applyFont="1" applyFill="1" applyBorder="1"/>
    <xf numFmtId="164" fontId="72" fillId="0" borderId="1" xfId="2" applyNumberFormat="1" applyFont="1" applyFill="1" applyBorder="1"/>
    <xf numFmtId="1" fontId="72" fillId="0" borderId="1" xfId="2" applyNumberFormat="1" applyFont="1" applyFill="1" applyBorder="1"/>
    <xf numFmtId="1" fontId="72" fillId="0" borderId="120" xfId="2" applyNumberFormat="1" applyFont="1" applyFill="1" applyBorder="1"/>
    <xf numFmtId="164" fontId="72" fillId="0" borderId="47" xfId="2" applyNumberFormat="1" applyFont="1" applyFill="1" applyBorder="1"/>
    <xf numFmtId="44" fontId="0" fillId="0" borderId="1" xfId="2" applyNumberFormat="1" applyFont="1" applyFill="1" applyBorder="1"/>
    <xf numFmtId="44" fontId="0" fillId="0" borderId="115" xfId="2" applyNumberFormat="1" applyFont="1" applyFill="1" applyBorder="1"/>
    <xf numFmtId="44" fontId="8" fillId="0" borderId="58" xfId="2" applyNumberFormat="1" applyFont="1" applyFill="1" applyBorder="1"/>
    <xf numFmtId="44" fontId="0" fillId="0" borderId="2" xfId="2" applyNumberFormat="1" applyFont="1" applyFill="1" applyBorder="1"/>
    <xf numFmtId="44" fontId="0" fillId="0" borderId="120" xfId="2" applyNumberFormat="1" applyFont="1" applyFill="1" applyBorder="1"/>
    <xf numFmtId="44" fontId="0" fillId="0" borderId="47" xfId="2" applyNumberFormat="1" applyFont="1" applyFill="1" applyBorder="1"/>
    <xf numFmtId="164" fontId="8" fillId="0" borderId="1" xfId="2" applyNumberFormat="1" applyFont="1" applyFill="1" applyBorder="1" applyAlignment="1">
      <alignment horizontal="right"/>
    </xf>
    <xf numFmtId="44" fontId="0" fillId="0" borderId="58" xfId="2" applyNumberFormat="1" applyFont="1" applyFill="1" applyBorder="1"/>
    <xf numFmtId="0" fontId="8" fillId="3" borderId="1" xfId="7" applyFill="1" applyBorder="1"/>
    <xf numFmtId="164" fontId="8" fillId="3" borderId="58" xfId="2" applyNumberFormat="1" applyFont="1" applyFill="1" applyBorder="1"/>
    <xf numFmtId="164" fontId="8" fillId="3" borderId="2" xfId="2" applyNumberFormat="1" applyFont="1" applyFill="1" applyBorder="1"/>
    <xf numFmtId="0" fontId="8" fillId="3" borderId="124" xfId="7" applyFill="1" applyBorder="1"/>
    <xf numFmtId="164" fontId="8" fillId="3" borderId="16" xfId="2" applyNumberFormat="1" applyFont="1" applyFill="1" applyBorder="1"/>
    <xf numFmtId="164" fontId="8" fillId="3" borderId="120" xfId="2" applyNumberFormat="1" applyFont="1" applyFill="1" applyBorder="1"/>
    <xf numFmtId="164" fontId="8" fillId="3" borderId="47" xfId="2" applyNumberFormat="1" applyFont="1" applyFill="1" applyBorder="1"/>
    <xf numFmtId="164" fontId="0" fillId="0" borderId="115" xfId="2" applyNumberFormat="1" applyFont="1" applyFill="1" applyBorder="1"/>
    <xf numFmtId="164" fontId="0" fillId="0" borderId="58" xfId="2" applyNumberFormat="1" applyFont="1" applyFill="1" applyBorder="1"/>
    <xf numFmtId="164" fontId="0" fillId="0" borderId="2" xfId="2" applyNumberFormat="1" applyFont="1" applyFill="1" applyBorder="1"/>
    <xf numFmtId="164" fontId="0" fillId="0" borderId="120" xfId="2" applyNumberFormat="1" applyFont="1" applyFill="1" applyBorder="1"/>
    <xf numFmtId="164" fontId="0" fillId="0" borderId="47" xfId="2" applyNumberFormat="1" applyFont="1" applyFill="1" applyBorder="1"/>
    <xf numFmtId="44" fontId="8" fillId="0" borderId="1" xfId="2" applyNumberFormat="1" applyFont="1" applyFill="1" applyBorder="1"/>
    <xf numFmtId="44" fontId="0" fillId="0" borderId="125" xfId="2" applyNumberFormat="1" applyFont="1" applyFill="1" applyBorder="1"/>
    <xf numFmtId="44" fontId="0" fillId="0" borderId="126" xfId="2" applyNumberFormat="1" applyFont="1" applyFill="1" applyBorder="1"/>
    <xf numFmtId="44" fontId="0" fillId="0" borderId="59" xfId="2" applyNumberFormat="1" applyFont="1" applyFill="1" applyBorder="1"/>
    <xf numFmtId="44" fontId="0" fillId="0" borderId="15" xfId="2" applyNumberFormat="1" applyFont="1" applyFill="1" applyBorder="1"/>
    <xf numFmtId="44" fontId="8" fillId="0" borderId="15" xfId="2" applyNumberFormat="1" applyFont="1" applyFill="1" applyBorder="1"/>
    <xf numFmtId="44" fontId="0" fillId="0" borderId="49" xfId="2" applyNumberFormat="1" applyFont="1" applyFill="1" applyBorder="1"/>
    <xf numFmtId="164" fontId="8" fillId="3" borderId="1" xfId="2" applyNumberFormat="1" applyFont="1" applyFill="1" applyBorder="1" applyAlignment="1">
      <alignment horizontal="center"/>
    </xf>
    <xf numFmtId="164" fontId="8" fillId="0" borderId="1" xfId="2" applyNumberFormat="1" applyFill="1" applyBorder="1" applyAlignment="1">
      <alignment horizontal="right"/>
    </xf>
    <xf numFmtId="44" fontId="8" fillId="0" borderId="2" xfId="2" applyNumberFormat="1" applyFont="1" applyFill="1" applyBorder="1"/>
    <xf numFmtId="164" fontId="8" fillId="0" borderId="115" xfId="2" applyNumberFormat="1" applyFont="1" applyFill="1" applyBorder="1"/>
    <xf numFmtId="164" fontId="0" fillId="0" borderId="1" xfId="2" applyNumberFormat="1" applyFont="1" applyFill="1" applyBorder="1" applyAlignment="1">
      <alignment horizontal="center"/>
    </xf>
    <xf numFmtId="42" fontId="8" fillId="0" borderId="1" xfId="5" applyNumberFormat="1" applyFont="1" applyFill="1" applyBorder="1"/>
    <xf numFmtId="42" fontId="8" fillId="0" borderId="115" xfId="5" applyNumberFormat="1" applyFont="1" applyFill="1" applyBorder="1"/>
    <xf numFmtId="164" fontId="8" fillId="0" borderId="130" xfId="2" applyNumberFormat="1" applyFont="1" applyFill="1" applyBorder="1"/>
    <xf numFmtId="164" fontId="0" fillId="0" borderId="130" xfId="2" applyNumberFormat="1" applyFont="1" applyFill="1" applyBorder="1"/>
    <xf numFmtId="164" fontId="0" fillId="0" borderId="60" xfId="2" applyNumberFormat="1" applyFont="1" applyFill="1" applyBorder="1"/>
    <xf numFmtId="164" fontId="0" fillId="0" borderId="61" xfId="2" applyNumberFormat="1" applyFont="1" applyFill="1" applyBorder="1"/>
    <xf numFmtId="164" fontId="0" fillId="0" borderId="18" xfId="2" applyNumberFormat="1" applyFont="1" applyFill="1" applyBorder="1"/>
    <xf numFmtId="164" fontId="0" fillId="0" borderId="131" xfId="2" applyNumberFormat="1" applyFont="1" applyFill="1" applyBorder="1"/>
    <xf numFmtId="164" fontId="8" fillId="11" borderId="1" xfId="2" applyNumberFormat="1" applyFont="1" applyFill="1" applyBorder="1" applyAlignment="1">
      <alignment horizontal="right"/>
    </xf>
    <xf numFmtId="44" fontId="8" fillId="11" borderId="1" xfId="5" applyFont="1" applyFill="1" applyBorder="1"/>
    <xf numFmtId="164" fontId="0" fillId="0" borderId="118" xfId="2" applyNumberFormat="1" applyFont="1" applyFill="1" applyBorder="1"/>
    <xf numFmtId="164" fontId="0" fillId="0" borderId="46" xfId="2" applyNumberFormat="1" applyFont="1" applyFill="1" applyBorder="1"/>
    <xf numFmtId="164" fontId="0" fillId="0" borderId="121" xfId="2" applyNumberFormat="1" applyFont="1" applyFill="1" applyBorder="1"/>
    <xf numFmtId="164" fontId="0" fillId="0" borderId="127" xfId="2" applyNumberFormat="1" applyFont="1" applyFill="1" applyBorder="1"/>
    <xf numFmtId="164" fontId="40" fillId="0" borderId="122" xfId="2" applyNumberFormat="1" applyFont="1" applyFill="1" applyBorder="1"/>
    <xf numFmtId="164" fontId="0" fillId="0" borderId="123" xfId="2" applyNumberFormat="1" applyFont="1" applyFill="1" applyBorder="1"/>
    <xf numFmtId="164" fontId="40" fillId="0" borderId="128" xfId="2" applyNumberFormat="1" applyFont="1" applyFill="1" applyBorder="1"/>
    <xf numFmtId="164" fontId="40" fillId="0" borderId="129" xfId="2" applyNumberFormat="1" applyFont="1" applyFill="1" applyBorder="1"/>
    <xf numFmtId="164" fontId="0" fillId="0" borderId="125" xfId="2" applyNumberFormat="1" applyFont="1" applyFill="1" applyBorder="1"/>
    <xf numFmtId="164" fontId="0" fillId="0" borderId="126" xfId="2" applyNumberFormat="1" applyFont="1" applyFill="1" applyBorder="1"/>
    <xf numFmtId="164" fontId="0" fillId="0" borderId="59" xfId="2" applyNumberFormat="1" applyFont="1" applyFill="1" applyBorder="1"/>
    <xf numFmtId="164" fontId="39" fillId="0" borderId="128" xfId="2" applyNumberFormat="1" applyFont="1" applyFill="1" applyBorder="1"/>
    <xf numFmtId="164" fontId="39" fillId="0" borderId="129" xfId="2" applyNumberFormat="1" applyFont="1" applyFill="1" applyBorder="1"/>
    <xf numFmtId="42" fontId="0" fillId="0" borderId="1" xfId="5" applyNumberFormat="1" applyFont="1" applyFill="1" applyBorder="1"/>
    <xf numFmtId="42" fontId="0" fillId="0" borderId="115" xfId="5" applyNumberFormat="1" applyFont="1" applyFill="1" applyBorder="1"/>
    <xf numFmtId="0" fontId="8" fillId="0" borderId="2" xfId="7" applyBorder="1"/>
    <xf numFmtId="164" fontId="24" fillId="0" borderId="127" xfId="2" applyNumberFormat="1" applyFont="1" applyFill="1" applyBorder="1"/>
    <xf numFmtId="164" fontId="8" fillId="0" borderId="58" xfId="2" applyNumberFormat="1" applyFont="1" applyFill="1" applyBorder="1"/>
    <xf numFmtId="164" fontId="8" fillId="0" borderId="121" xfId="2" applyNumberFormat="1" applyFont="1" applyFill="1" applyBorder="1"/>
    <xf numFmtId="164" fontId="8" fillId="0" borderId="127" xfId="2" applyNumberFormat="1" applyFont="1" applyFill="1" applyBorder="1"/>
    <xf numFmtId="0" fontId="8" fillId="3" borderId="1" xfId="7" applyFill="1" applyBorder="1" applyAlignment="1">
      <alignment horizontal="center"/>
    </xf>
    <xf numFmtId="164" fontId="7" fillId="0" borderId="125" xfId="2" applyNumberFormat="1" applyFont="1" applyFill="1" applyBorder="1" applyAlignment="1">
      <alignment horizontal="center"/>
    </xf>
    <xf numFmtId="164" fontId="0" fillId="0" borderId="49" xfId="2" applyNumberFormat="1" applyFont="1" applyFill="1" applyBorder="1"/>
    <xf numFmtId="164" fontId="8" fillId="0" borderId="3" xfId="2" applyNumberFormat="1" applyFont="1" applyFill="1" applyBorder="1" applyAlignment="1">
      <alignment horizontal="right"/>
    </xf>
    <xf numFmtId="44" fontId="8" fillId="0" borderId="115" xfId="2" applyNumberFormat="1" applyFont="1" applyFill="1" applyBorder="1"/>
    <xf numFmtId="44" fontId="8" fillId="0" borderId="120" xfId="2" applyNumberFormat="1" applyFont="1" applyFill="1" applyBorder="1"/>
    <xf numFmtId="44" fontId="8" fillId="0" borderId="47" xfId="2" applyNumberFormat="1" applyFont="1" applyFill="1" applyBorder="1"/>
    <xf numFmtId="164" fontId="26" fillId="0" borderId="1" xfId="2" applyNumberFormat="1" applyFont="1" applyFill="1" applyBorder="1" applyAlignment="1">
      <alignment horizontal="right"/>
    </xf>
    <xf numFmtId="44" fontId="8" fillId="0" borderId="136" xfId="2" applyNumberFormat="1" applyFont="1" applyFill="1" applyBorder="1"/>
    <xf numFmtId="164" fontId="8" fillId="0" borderId="18" xfId="2" applyNumberFormat="1" applyFont="1" applyFill="1" applyBorder="1" applyAlignment="1">
      <alignment horizontal="right"/>
    </xf>
    <xf numFmtId="44" fontId="8" fillId="0" borderId="18" xfId="2" applyNumberFormat="1" applyFont="1" applyFill="1" applyBorder="1"/>
    <xf numFmtId="44" fontId="8" fillId="0" borderId="137" xfId="2" applyNumberFormat="1" applyFont="1" applyFill="1" applyBorder="1"/>
    <xf numFmtId="44" fontId="8" fillId="0" borderId="130" xfId="2" applyNumberFormat="1" applyFont="1" applyFill="1" applyBorder="1"/>
    <xf numFmtId="44" fontId="8" fillId="0" borderId="61" xfId="2" applyNumberFormat="1" applyFont="1" applyFill="1" applyBorder="1"/>
    <xf numFmtId="44" fontId="8" fillId="0" borderId="131" xfId="2" applyNumberFormat="1" applyFont="1" applyFill="1" applyBorder="1"/>
    <xf numFmtId="44" fontId="8" fillId="0" borderId="69" xfId="2" applyNumberFormat="1" applyFont="1" applyFill="1" applyBorder="1"/>
    <xf numFmtId="164" fontId="8" fillId="0" borderId="47" xfId="2" applyNumberFormat="1" applyFont="1" applyFill="1" applyBorder="1"/>
    <xf numFmtId="37" fontId="8" fillId="4" borderId="0" xfId="0" applyNumberFormat="1" applyFont="1" applyFill="1" applyAlignment="1" applyProtection="1">
      <alignment horizontal="left"/>
    </xf>
    <xf numFmtId="0" fontId="8" fillId="4" borderId="0" xfId="0" applyFont="1" applyFill="1"/>
    <xf numFmtId="164" fontId="25" fillId="4" borderId="3" xfId="1" applyNumberFormat="1" applyFont="1" applyFill="1" applyBorder="1"/>
    <xf numFmtId="164" fontId="47" fillId="4" borderId="3" xfId="1" applyNumberFormat="1" applyFont="1" applyFill="1" applyBorder="1"/>
    <xf numFmtId="164" fontId="25" fillId="5" borderId="1" xfId="1" applyNumberFormat="1" applyFont="1" applyFill="1" applyBorder="1"/>
    <xf numFmtId="164" fontId="25" fillId="5" borderId="0" xfId="1" applyNumberFormat="1" applyFont="1" applyFill="1" applyBorder="1"/>
    <xf numFmtId="0" fontId="8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wrapText="1"/>
    </xf>
    <xf numFmtId="164" fontId="7" fillId="10" borderId="0" xfId="1" applyNumberFormat="1" applyFont="1" applyFill="1" applyAlignment="1">
      <alignment wrapText="1"/>
    </xf>
    <xf numFmtId="0" fontId="20" fillId="0" borderId="63" xfId="6" applyFont="1" applyBorder="1" applyAlignment="1">
      <alignment horizontal="center"/>
    </xf>
    <xf numFmtId="0" fontId="7" fillId="0" borderId="16" xfId="7" applyFont="1" applyBorder="1" applyAlignment="1">
      <alignment horizontal="center"/>
    </xf>
    <xf numFmtId="0" fontId="7" fillId="0" borderId="118" xfId="7" applyFont="1" applyBorder="1" applyAlignment="1">
      <alignment horizontal="center"/>
    </xf>
    <xf numFmtId="0" fontId="7" fillId="0" borderId="118" xfId="7" applyFont="1" applyBorder="1" applyAlignment="1">
      <alignment horizontal="center" wrapText="1"/>
    </xf>
    <xf numFmtId="0" fontId="7" fillId="0" borderId="55" xfId="7" applyFont="1" applyBorder="1" applyAlignment="1">
      <alignment horizontal="center"/>
    </xf>
    <xf numFmtId="0" fontId="7" fillId="0" borderId="28" xfId="7" applyFont="1" applyBorder="1" applyAlignment="1">
      <alignment horizontal="center"/>
    </xf>
    <xf numFmtId="0" fontId="7" fillId="0" borderId="119" xfId="7" applyFont="1" applyBorder="1" applyAlignment="1">
      <alignment horizontal="center" wrapText="1"/>
    </xf>
    <xf numFmtId="0" fontId="7" fillId="0" borderId="48" xfId="7" applyFont="1" applyBorder="1" applyAlignment="1">
      <alignment horizontal="center"/>
    </xf>
    <xf numFmtId="0" fontId="30" fillId="3" borderId="1" xfId="7" applyFont="1" applyFill="1" applyBorder="1"/>
    <xf numFmtId="174" fontId="8" fillId="0" borderId="1" xfId="7" applyNumberFormat="1" applyBorder="1" applyAlignment="1">
      <alignment horizontal="right"/>
    </xf>
    <xf numFmtId="16" fontId="8" fillId="0" borderId="1" xfId="7" applyNumberFormat="1" applyBorder="1" applyAlignment="1">
      <alignment horizontal="right"/>
    </xf>
    <xf numFmtId="44" fontId="8" fillId="0" borderId="0" xfId="6" applyNumberFormat="1"/>
    <xf numFmtId="174" fontId="7" fillId="0" borderId="1" xfId="7" applyNumberFormat="1" applyFont="1" applyBorder="1" applyAlignment="1">
      <alignment horizontal="left"/>
    </xf>
    <xf numFmtId="0" fontId="7" fillId="0" borderId="121" xfId="7" applyFont="1" applyBorder="1" applyAlignment="1">
      <alignment horizontal="right"/>
    </xf>
    <xf numFmtId="164" fontId="7" fillId="0" borderId="121" xfId="2" applyNumberFormat="1" applyFont="1" applyFill="1" applyBorder="1" applyAlignment="1">
      <alignment horizontal="right"/>
    </xf>
    <xf numFmtId="164" fontId="7" fillId="0" borderId="121" xfId="2" applyNumberFormat="1" applyFont="1" applyFill="1" applyBorder="1"/>
    <xf numFmtId="44" fontId="7" fillId="0" borderId="121" xfId="2" applyNumberFormat="1" applyFont="1" applyFill="1" applyBorder="1"/>
    <xf numFmtId="44" fontId="7" fillId="0" borderId="122" xfId="2" applyNumberFormat="1" applyFont="1" applyFill="1" applyBorder="1"/>
    <xf numFmtId="0" fontId="8" fillId="0" borderId="1" xfId="7" applyBorder="1" applyAlignment="1">
      <alignment horizontal="right"/>
    </xf>
    <xf numFmtId="164" fontId="8" fillId="0" borderId="2" xfId="2" applyNumberFormat="1" applyFont="1" applyFill="1" applyBorder="1"/>
    <xf numFmtId="164" fontId="8" fillId="0" borderId="120" xfId="2" applyNumberFormat="1" applyFont="1" applyFill="1" applyBorder="1"/>
    <xf numFmtId="0" fontId="7" fillId="0" borderId="2" xfId="7" applyFont="1" applyBorder="1"/>
    <xf numFmtId="16" fontId="8" fillId="0" borderId="15" xfId="7" applyNumberFormat="1" applyBorder="1" applyAlignment="1">
      <alignment horizontal="left"/>
    </xf>
    <xf numFmtId="16" fontId="8" fillId="0" borderId="15" xfId="7" applyNumberFormat="1" applyBorder="1" applyAlignment="1">
      <alignment horizontal="right"/>
    </xf>
    <xf numFmtId="16" fontId="8" fillId="0" borderId="18" xfId="7" applyNumberFormat="1" applyBorder="1" applyAlignment="1">
      <alignment horizontal="right"/>
    </xf>
    <xf numFmtId="0" fontId="7" fillId="0" borderId="121" xfId="7" applyFont="1" applyBorder="1" applyAlignment="1">
      <alignment horizontal="left"/>
    </xf>
    <xf numFmtId="164" fontId="7" fillId="0" borderId="121" xfId="7" applyNumberFormat="1" applyFont="1" applyBorder="1" applyAlignment="1">
      <alignment horizontal="right"/>
    </xf>
    <xf numFmtId="44" fontId="7" fillId="0" borderId="127" xfId="2" applyNumberFormat="1" applyFont="1" applyFill="1" applyBorder="1"/>
    <xf numFmtId="44" fontId="7" fillId="0" borderId="123" xfId="2" applyNumberFormat="1" applyFont="1" applyFill="1" applyBorder="1"/>
    <xf numFmtId="44" fontId="7" fillId="0" borderId="128" xfId="2" applyNumberFormat="1" applyFont="1" applyFill="1" applyBorder="1"/>
    <xf numFmtId="44" fontId="7" fillId="0" borderId="129" xfId="2" applyNumberFormat="1" applyFont="1" applyFill="1" applyBorder="1"/>
    <xf numFmtId="164" fontId="8" fillId="0" borderId="0" xfId="6" applyNumberFormat="1"/>
    <xf numFmtId="16" fontId="8" fillId="0" borderId="1" xfId="7" applyNumberFormat="1" applyBorder="1" applyAlignment="1">
      <alignment horizontal="left"/>
    </xf>
    <xf numFmtId="44" fontId="8" fillId="0" borderId="120" xfId="6" applyNumberFormat="1" applyBorder="1"/>
    <xf numFmtId="44" fontId="0" fillId="0" borderId="38" xfId="2" applyNumberFormat="1" applyFont="1" applyFill="1" applyBorder="1"/>
    <xf numFmtId="16" fontId="8" fillId="0" borderId="1" xfId="7" applyNumberFormat="1" applyBorder="1" applyAlignment="1">
      <alignment horizontal="center"/>
    </xf>
    <xf numFmtId="44" fontId="0" fillId="0" borderId="58" xfId="13" applyFont="1" applyFill="1" applyBorder="1"/>
    <xf numFmtId="44" fontId="0" fillId="0" borderId="47" xfId="13" applyFont="1" applyFill="1" applyBorder="1"/>
    <xf numFmtId="44" fontId="0" fillId="0" borderId="120" xfId="13" applyFont="1" applyFill="1" applyBorder="1"/>
    <xf numFmtId="0" fontId="7" fillId="0" borderId="16" xfId="7" applyFont="1" applyBorder="1"/>
    <xf numFmtId="164" fontId="8" fillId="0" borderId="118" xfId="2" applyNumberFormat="1" applyFont="1" applyFill="1" applyBorder="1"/>
    <xf numFmtId="164" fontId="8" fillId="0" borderId="55" xfId="2" applyNumberFormat="1" applyFont="1" applyFill="1" applyBorder="1"/>
    <xf numFmtId="164" fontId="8" fillId="0" borderId="28" xfId="2" applyNumberFormat="1" applyFont="1" applyFill="1" applyBorder="1"/>
    <xf numFmtId="164" fontId="8" fillId="0" borderId="16" xfId="2" applyNumberFormat="1" applyFont="1" applyFill="1" applyBorder="1" applyAlignment="1">
      <alignment horizontal="center"/>
    </xf>
    <xf numFmtId="164" fontId="8" fillId="0" borderId="119" xfId="2" applyNumberFormat="1" applyFont="1" applyFill="1" applyBorder="1"/>
    <xf numFmtId="164" fontId="8" fillId="0" borderId="46" xfId="2" applyNumberFormat="1" applyFont="1" applyFill="1" applyBorder="1"/>
    <xf numFmtId="16" fontId="8" fillId="0" borderId="0" xfId="7" applyNumberFormat="1" applyAlignment="1">
      <alignment horizontal="right"/>
    </xf>
    <xf numFmtId="16" fontId="0" fillId="0" borderId="18" xfId="7" applyNumberFormat="1" applyFont="1" applyBorder="1" applyAlignment="1">
      <alignment horizontal="right"/>
    </xf>
    <xf numFmtId="16" fontId="8" fillId="0" borderId="16" xfId="7" applyNumberFormat="1" applyBorder="1" applyAlignment="1">
      <alignment horizontal="right"/>
    </xf>
    <xf numFmtId="0" fontId="8" fillId="0" borderId="121" xfId="7" applyBorder="1" applyAlignment="1">
      <alignment horizontal="right"/>
    </xf>
    <xf numFmtId="16" fontId="0" fillId="0" borderId="1" xfId="7" applyNumberFormat="1" applyFont="1" applyBorder="1" applyAlignment="1">
      <alignment horizontal="right"/>
    </xf>
    <xf numFmtId="164" fontId="8" fillId="0" borderId="1" xfId="2" applyNumberFormat="1" applyFont="1" applyFill="1" applyBorder="1" applyAlignment="1">
      <alignment horizontal="center"/>
    </xf>
    <xf numFmtId="0" fontId="8" fillId="0" borderId="121" xfId="7" applyBorder="1" applyAlignment="1">
      <alignment horizontal="left"/>
    </xf>
    <xf numFmtId="0" fontId="30" fillId="0" borderId="1" xfId="7" applyFont="1" applyBorder="1"/>
    <xf numFmtId="44" fontId="0" fillId="0" borderId="115" xfId="5" applyFont="1" applyFill="1" applyBorder="1"/>
    <xf numFmtId="44" fontId="8" fillId="0" borderId="16" xfId="2" applyNumberFormat="1" applyFont="1" applyFill="1" applyBorder="1"/>
    <xf numFmtId="44" fontId="8" fillId="0" borderId="118" xfId="2" applyNumberFormat="1" applyFont="1" applyFill="1" applyBorder="1"/>
    <xf numFmtId="44" fontId="8" fillId="0" borderId="28" xfId="2" applyNumberFormat="1" applyFont="1" applyFill="1" applyBorder="1"/>
    <xf numFmtId="16" fontId="7" fillId="0" borderId="107" xfId="7" applyNumberFormat="1" applyFont="1" applyBorder="1" applyAlignment="1">
      <alignment horizontal="left"/>
    </xf>
    <xf numFmtId="16" fontId="7" fillId="0" borderId="107" xfId="7" applyNumberFormat="1" applyFont="1" applyBorder="1" applyAlignment="1">
      <alignment horizontal="right"/>
    </xf>
    <xf numFmtId="164" fontId="7" fillId="0" borderId="107" xfId="2" applyNumberFormat="1" applyFont="1" applyFill="1" applyBorder="1"/>
    <xf numFmtId="164" fontId="7" fillId="0" borderId="132" xfId="2" applyNumberFormat="1" applyFont="1" applyFill="1" applyBorder="1"/>
    <xf numFmtId="164" fontId="7" fillId="0" borderId="132" xfId="2" applyNumberFormat="1" applyFont="1" applyFill="1" applyBorder="1" applyAlignment="1">
      <alignment horizontal="center"/>
    </xf>
    <xf numFmtId="0" fontId="7" fillId="0" borderId="138" xfId="7" applyFont="1" applyBorder="1" applyAlignment="1">
      <alignment horizontal="right"/>
    </xf>
    <xf numFmtId="164" fontId="7" fillId="0" borderId="138" xfId="7" applyNumberFormat="1" applyFont="1" applyBorder="1" applyAlignment="1">
      <alignment horizontal="right"/>
    </xf>
    <xf numFmtId="164" fontId="7" fillId="0" borderId="138" xfId="2" applyNumberFormat="1" applyFont="1" applyFill="1" applyBorder="1"/>
    <xf numFmtId="164" fontId="7" fillId="0" borderId="139" xfId="2" applyNumberFormat="1" applyFont="1" applyFill="1" applyBorder="1"/>
    <xf numFmtId="164" fontId="7" fillId="0" borderId="140" xfId="2" applyNumberFormat="1" applyFont="1" applyFill="1" applyBorder="1"/>
    <xf numFmtId="0" fontId="7" fillId="0" borderId="17" xfId="7" applyFont="1" applyBorder="1" applyAlignment="1">
      <alignment horizontal="left"/>
    </xf>
    <xf numFmtId="0" fontId="8" fillId="0" borderId="19" xfId="7" applyBorder="1" applyAlignment="1">
      <alignment horizontal="right"/>
    </xf>
    <xf numFmtId="164" fontId="0" fillId="0" borderId="19" xfId="2" applyNumberFormat="1" applyFont="1" applyFill="1" applyBorder="1"/>
    <xf numFmtId="44" fontId="7" fillId="0" borderId="19" xfId="13" applyFont="1" applyFill="1" applyBorder="1"/>
    <xf numFmtId="44" fontId="7" fillId="0" borderId="20" xfId="13" applyFont="1" applyFill="1" applyBorder="1"/>
    <xf numFmtId="44" fontId="7" fillId="0" borderId="141" xfId="13" applyFont="1" applyFill="1" applyBorder="1"/>
    <xf numFmtId="0" fontId="73" fillId="0" borderId="0" xfId="6" applyFont="1"/>
    <xf numFmtId="37" fontId="8" fillId="0" borderId="0" xfId="6" applyNumberFormat="1" applyAlignment="1">
      <alignment horizontal="left"/>
    </xf>
    <xf numFmtId="37" fontId="74" fillId="0" borderId="0" xfId="6" applyNumberFormat="1" applyFont="1" applyAlignment="1">
      <alignment horizontal="left"/>
    </xf>
    <xf numFmtId="41" fontId="8" fillId="0" borderId="0" xfId="6" applyNumberFormat="1"/>
    <xf numFmtId="0" fontId="28" fillId="0" borderId="0" xfId="6" applyFont="1" applyAlignment="1">
      <alignment horizontal="center" vertical="center" wrapText="1"/>
    </xf>
    <xf numFmtId="0" fontId="7" fillId="0" borderId="35" xfId="6" applyFont="1" applyBorder="1" applyAlignment="1">
      <alignment horizontal="center"/>
    </xf>
    <xf numFmtId="0" fontId="7" fillId="0" borderId="36" xfId="6" applyFont="1" applyBorder="1" applyAlignment="1">
      <alignment horizontal="center"/>
    </xf>
    <xf numFmtId="0" fontId="7" fillId="0" borderId="57" xfId="6" applyFont="1" applyBorder="1" applyAlignment="1">
      <alignment horizontal="center"/>
    </xf>
    <xf numFmtId="0" fontId="8" fillId="0" borderId="11" xfId="6" applyBorder="1" applyAlignment="1">
      <alignment horizontal="center"/>
    </xf>
    <xf numFmtId="0" fontId="7" fillId="0" borderId="52" xfId="6" applyFont="1" applyBorder="1"/>
    <xf numFmtId="0" fontId="8" fillId="0" borderId="2" xfId="6" applyBorder="1"/>
    <xf numFmtId="0" fontId="7" fillId="0" borderId="35" xfId="6" applyFont="1" applyBorder="1" applyAlignment="1">
      <alignment horizontal="left"/>
    </xf>
    <xf numFmtId="0" fontId="8" fillId="0" borderId="71" xfId="6" applyBorder="1" applyAlignment="1">
      <alignment horizontal="left"/>
    </xf>
    <xf numFmtId="0" fontId="8" fillId="0" borderId="11" xfId="6" applyBorder="1" applyAlignment="1">
      <alignment horizontal="right"/>
    </xf>
    <xf numFmtId="0" fontId="7" fillId="0" borderId="62" xfId="6" applyFont="1" applyBorder="1" applyAlignment="1">
      <alignment horizontal="left"/>
    </xf>
    <xf numFmtId="0" fontId="7" fillId="0" borderId="63" xfId="6" applyFont="1" applyBorder="1"/>
    <xf numFmtId="0" fontId="7" fillId="0" borderId="39" xfId="6" applyFont="1" applyBorder="1" applyAlignment="1">
      <alignment horizontal="center"/>
    </xf>
    <xf numFmtId="0" fontId="7" fillId="0" borderId="40" xfId="6" applyFont="1" applyBorder="1" applyAlignment="1">
      <alignment horizontal="center"/>
    </xf>
    <xf numFmtId="0" fontId="7" fillId="0" borderId="50" xfId="6" applyFont="1" applyBorder="1" applyAlignment="1">
      <alignment horizontal="center"/>
    </xf>
    <xf numFmtId="0" fontId="8" fillId="0" borderId="56" xfId="6" applyBorder="1"/>
    <xf numFmtId="0" fontId="7" fillId="0" borderId="19" xfId="6" applyFont="1" applyBorder="1" applyAlignment="1">
      <alignment horizontal="center"/>
    </xf>
    <xf numFmtId="0" fontId="7" fillId="0" borderId="20" xfId="6" applyFont="1" applyBorder="1" applyAlignment="1">
      <alignment horizontal="center"/>
    </xf>
    <xf numFmtId="0" fontId="8" fillId="0" borderId="71" xfId="6" applyBorder="1"/>
    <xf numFmtId="0" fontId="8" fillId="6" borderId="63" xfId="6" applyFill="1" applyBorder="1"/>
    <xf numFmtId="0" fontId="8" fillId="6" borderId="76" xfId="6" applyFill="1" applyBorder="1" applyAlignment="1">
      <alignment horizontal="center"/>
    </xf>
    <xf numFmtId="0" fontId="7" fillId="0" borderId="63" xfId="6" applyFont="1" applyBorder="1" applyAlignment="1">
      <alignment horizontal="center"/>
    </xf>
    <xf numFmtId="0" fontId="8" fillId="0" borderId="38" xfId="6" applyBorder="1"/>
    <xf numFmtId="0" fontId="8" fillId="6" borderId="69" xfId="6" applyFill="1" applyBorder="1"/>
    <xf numFmtId="0" fontId="8" fillId="6" borderId="61" xfId="6" applyFill="1" applyBorder="1" applyAlignment="1">
      <alignment horizontal="center"/>
    </xf>
    <xf numFmtId="0" fontId="8" fillId="0" borderId="1" xfId="6" applyBorder="1" applyAlignment="1">
      <alignment horizontal="center"/>
    </xf>
    <xf numFmtId="8" fontId="8" fillId="0" borderId="1" xfId="5" applyNumberFormat="1" applyFont="1" applyFill="1" applyBorder="1" applyAlignment="1">
      <alignment horizontal="center"/>
    </xf>
    <xf numFmtId="0" fontId="8" fillId="6" borderId="49" xfId="6" applyFill="1" applyBorder="1"/>
    <xf numFmtId="0" fontId="8" fillId="6" borderId="59" xfId="6" applyFill="1" applyBorder="1" applyAlignment="1">
      <alignment horizontal="center"/>
    </xf>
    <xf numFmtId="0" fontId="8" fillId="0" borderId="54" xfId="6" applyBorder="1"/>
    <xf numFmtId="0" fontId="8" fillId="0" borderId="28" xfId="6" applyBorder="1"/>
    <xf numFmtId="0" fontId="8" fillId="0" borderId="53" xfId="6" applyBorder="1"/>
    <xf numFmtId="0" fontId="8" fillId="0" borderId="89" xfId="6" applyBorder="1"/>
    <xf numFmtId="1" fontId="8" fillId="0" borderId="29" xfId="6" applyNumberFormat="1" applyBorder="1" applyAlignment="1">
      <alignment horizontal="right"/>
    </xf>
    <xf numFmtId="0" fontId="7" fillId="3" borderId="92" xfId="6" applyFont="1" applyFill="1" applyBorder="1" applyAlignment="1">
      <alignment horizontal="left"/>
    </xf>
    <xf numFmtId="0" fontId="7" fillId="3" borderId="8" xfId="6" applyFont="1" applyFill="1" applyBorder="1" applyAlignment="1">
      <alignment horizontal="left"/>
    </xf>
    <xf numFmtId="0" fontId="7" fillId="3" borderId="59" xfId="6" applyFont="1" applyFill="1" applyBorder="1" applyAlignment="1">
      <alignment horizontal="left"/>
    </xf>
    <xf numFmtId="0" fontId="8" fillId="4" borderId="37" xfId="6" applyFill="1" applyBorder="1"/>
    <xf numFmtId="167" fontId="8" fillId="0" borderId="1" xfId="6" applyNumberFormat="1" applyBorder="1"/>
    <xf numFmtId="44" fontId="7" fillId="0" borderId="0" xfId="4" applyFont="1" applyFill="1" applyBorder="1" applyAlignment="1">
      <alignment horizontal="center"/>
    </xf>
    <xf numFmtId="1" fontId="8" fillId="0" borderId="1" xfId="6" applyNumberFormat="1" applyBorder="1" applyAlignment="1">
      <alignment horizontal="right"/>
    </xf>
    <xf numFmtId="0" fontId="8" fillId="0" borderId="21" xfId="6" applyBorder="1" applyAlignment="1">
      <alignment horizontal="center"/>
    </xf>
    <xf numFmtId="0" fontId="8" fillId="0" borderId="105" xfId="6" applyBorder="1" applyAlignment="1">
      <alignment horizontal="center"/>
    </xf>
    <xf numFmtId="44" fontId="8" fillId="0" borderId="1" xfId="5" applyFont="1" applyFill="1" applyBorder="1" applyAlignment="1">
      <alignment horizontal="center"/>
    </xf>
    <xf numFmtId="0" fontId="19" fillId="0" borderId="24" xfId="6" applyFont="1" applyBorder="1" applyAlignment="1">
      <alignment horizontal="center" vertical="top"/>
    </xf>
    <xf numFmtId="0" fontId="19" fillId="0" borderId="100" xfId="6" applyFont="1" applyBorder="1" applyAlignment="1">
      <alignment horizontal="center" vertical="top"/>
    </xf>
    <xf numFmtId="0" fontId="19" fillId="0" borderId="60" xfId="6" applyFont="1" applyBorder="1" applyAlignment="1">
      <alignment horizontal="center" vertical="top"/>
    </xf>
    <xf numFmtId="0" fontId="8" fillId="0" borderId="41" xfId="6" applyBorder="1" applyAlignment="1">
      <alignment horizontal="center"/>
    </xf>
    <xf numFmtId="0" fontId="8" fillId="0" borderId="42" xfId="6" applyBorder="1" applyAlignment="1">
      <alignment horizontal="center"/>
    </xf>
    <xf numFmtId="0" fontId="8" fillId="0" borderId="75" xfId="6" applyBorder="1" applyAlignment="1">
      <alignment horizontal="center"/>
    </xf>
    <xf numFmtId="0" fontId="8" fillId="0" borderId="0" xfId="6" applyAlignment="1">
      <alignment horizontal="center"/>
    </xf>
    <xf numFmtId="0" fontId="8" fillId="0" borderId="62" xfId="6" applyBorder="1" applyAlignment="1">
      <alignment horizontal="center"/>
    </xf>
    <xf numFmtId="0" fontId="8" fillId="0" borderId="47" xfId="6" applyBorder="1"/>
    <xf numFmtId="0" fontId="7" fillId="2" borderId="62" xfId="6" applyFont="1" applyFill="1" applyBorder="1" applyAlignment="1">
      <alignment horizontal="left"/>
    </xf>
    <xf numFmtId="0" fontId="7" fillId="2" borderId="21" xfId="6" applyFont="1" applyFill="1" applyBorder="1" applyAlignment="1">
      <alignment horizontal="left"/>
    </xf>
    <xf numFmtId="0" fontId="7" fillId="2" borderId="84" xfId="6" applyFont="1" applyFill="1" applyBorder="1" applyAlignment="1">
      <alignment horizontal="left"/>
    </xf>
    <xf numFmtId="44" fontId="7" fillId="2" borderId="116" xfId="5" applyFont="1" applyFill="1" applyBorder="1" applyAlignment="1">
      <alignment horizontal="center"/>
    </xf>
    <xf numFmtId="43" fontId="8" fillId="0" borderId="1" xfId="2" applyFont="1" applyFill="1" applyBorder="1"/>
    <xf numFmtId="43" fontId="8" fillId="0" borderId="53" xfId="2" applyFont="1" applyBorder="1"/>
    <xf numFmtId="0" fontId="8" fillId="0" borderId="88" xfId="6" applyBorder="1"/>
    <xf numFmtId="167" fontId="8" fillId="0" borderId="18" xfId="6" applyNumberFormat="1" applyBorder="1"/>
    <xf numFmtId="43" fontId="0" fillId="0" borderId="0" xfId="2" applyFont="1" applyFill="1" applyBorder="1"/>
    <xf numFmtId="0" fontId="8" fillId="0" borderId="100" xfId="6" applyBorder="1"/>
    <xf numFmtId="0" fontId="8" fillId="0" borderId="61" xfId="6" applyBorder="1"/>
    <xf numFmtId="44" fontId="0" fillId="0" borderId="146" xfId="5" applyFont="1" applyBorder="1"/>
    <xf numFmtId="0" fontId="26" fillId="4" borderId="69" xfId="6" applyFont="1" applyFill="1" applyBorder="1"/>
    <xf numFmtId="44" fontId="7" fillId="0" borderId="0" xfId="4" applyFont="1" applyFill="1" applyBorder="1"/>
    <xf numFmtId="0" fontId="8" fillId="0" borderId="46" xfId="6" applyBorder="1"/>
    <xf numFmtId="6" fontId="8" fillId="0" borderId="16" xfId="2" applyNumberFormat="1" applyFont="1" applyBorder="1"/>
    <xf numFmtId="8" fontId="8" fillId="0" borderId="25" xfId="5" applyNumberFormat="1" applyFont="1" applyBorder="1"/>
    <xf numFmtId="0" fontId="8" fillId="0" borderId="4" xfId="6" applyBorder="1"/>
    <xf numFmtId="0" fontId="8" fillId="0" borderId="55" xfId="6" applyBorder="1"/>
    <xf numFmtId="0" fontId="7" fillId="2" borderId="90" xfId="6" applyFont="1" applyFill="1" applyBorder="1"/>
    <xf numFmtId="0" fontId="7" fillId="2" borderId="73" xfId="6" applyFont="1" applyFill="1" applyBorder="1"/>
    <xf numFmtId="0" fontId="7" fillId="2" borderId="91" xfId="6" applyFont="1" applyFill="1" applyBorder="1"/>
    <xf numFmtId="0" fontId="7" fillId="0" borderId="54" xfId="6" applyFont="1" applyBorder="1"/>
    <xf numFmtId="0" fontId="7" fillId="0" borderId="4" xfId="6" applyFont="1" applyBorder="1"/>
    <xf numFmtId="0" fontId="7" fillId="0" borderId="28" xfId="6" applyFont="1" applyBorder="1"/>
    <xf numFmtId="6" fontId="8" fillId="0" borderId="1" xfId="2" applyNumberFormat="1" applyFont="1" applyBorder="1"/>
    <xf numFmtId="0" fontId="8" fillId="0" borderId="56" xfId="6" applyBorder="1" applyAlignment="1">
      <alignment horizontal="center"/>
    </xf>
    <xf numFmtId="0" fontId="7" fillId="0" borderId="38" xfId="6" applyFont="1" applyBorder="1" applyAlignment="1">
      <alignment horizontal="left"/>
    </xf>
    <xf numFmtId="0" fontId="7" fillId="0" borderId="1" xfId="6" applyFont="1" applyBorder="1" applyAlignment="1">
      <alignment horizontal="left"/>
    </xf>
    <xf numFmtId="0" fontId="16" fillId="0" borderId="0" xfId="6" applyFont="1" applyAlignment="1">
      <alignment horizontal="center"/>
    </xf>
    <xf numFmtId="0" fontId="16" fillId="0" borderId="88" xfId="6" applyFont="1" applyBorder="1" applyAlignment="1">
      <alignment horizontal="center"/>
    </xf>
    <xf numFmtId="0" fontId="16" fillId="0" borderId="100" xfId="6" applyFont="1" applyBorder="1" applyAlignment="1">
      <alignment horizontal="center"/>
    </xf>
    <xf numFmtId="0" fontId="16" fillId="0" borderId="60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7" fillId="0" borderId="86" xfId="6" applyFont="1" applyBorder="1" applyAlignment="1">
      <alignment horizontal="left"/>
    </xf>
    <xf numFmtId="0" fontId="8" fillId="0" borderId="69" xfId="6" applyBorder="1"/>
    <xf numFmtId="0" fontId="8" fillId="0" borderId="70" xfId="6" applyBorder="1"/>
    <xf numFmtId="0" fontId="16" fillId="0" borderId="70" xfId="6" applyFont="1" applyBorder="1" applyAlignment="1">
      <alignment horizontal="center"/>
    </xf>
    <xf numFmtId="0" fontId="16" fillId="0" borderId="18" xfId="6" applyFont="1" applyBorder="1" applyAlignment="1">
      <alignment horizontal="center"/>
    </xf>
    <xf numFmtId="0" fontId="16" fillId="0" borderId="65" xfId="6" applyFont="1" applyBorder="1" applyAlignment="1">
      <alignment horizontal="center"/>
    </xf>
    <xf numFmtId="0" fontId="16" fillId="0" borderId="54" xfId="6" applyFont="1" applyBorder="1" applyAlignment="1">
      <alignment horizontal="center"/>
    </xf>
    <xf numFmtId="0" fontId="16" fillId="0" borderId="4" xfId="6" applyFont="1" applyBorder="1" applyAlignment="1">
      <alignment horizontal="center"/>
    </xf>
    <xf numFmtId="0" fontId="16" fillId="0" borderId="55" xfId="6" applyFont="1" applyBorder="1" applyAlignment="1">
      <alignment horizontal="center"/>
    </xf>
    <xf numFmtId="0" fontId="26" fillId="4" borderId="48" xfId="6" applyFont="1" applyFill="1" applyBorder="1"/>
    <xf numFmtId="0" fontId="8" fillId="4" borderId="68" xfId="6" applyFill="1" applyBorder="1"/>
    <xf numFmtId="0" fontId="8" fillId="4" borderId="26" xfId="6" applyFill="1" applyBorder="1"/>
    <xf numFmtId="0" fontId="7" fillId="0" borderId="80" xfId="6" applyFont="1" applyBorder="1" applyAlignment="1">
      <alignment horizontal="center"/>
    </xf>
    <xf numFmtId="0" fontId="7" fillId="0" borderId="81" xfId="6" applyFont="1" applyBorder="1" applyAlignment="1">
      <alignment horizontal="center"/>
    </xf>
    <xf numFmtId="0" fontId="7" fillId="0" borderId="82" xfId="6" applyFont="1" applyBorder="1" applyAlignment="1">
      <alignment horizontal="center"/>
    </xf>
    <xf numFmtId="0" fontId="7" fillId="0" borderId="83" xfId="6" applyFont="1" applyBorder="1" applyAlignment="1">
      <alignment horizontal="center"/>
    </xf>
    <xf numFmtId="0" fontId="8" fillId="0" borderId="48" xfId="6" applyBorder="1"/>
    <xf numFmtId="0" fontId="8" fillId="0" borderId="68" xfId="6" applyBorder="1"/>
    <xf numFmtId="43" fontId="8" fillId="0" borderId="26" xfId="2" applyFont="1" applyFill="1" applyBorder="1"/>
    <xf numFmtId="0" fontId="26" fillId="0" borderId="46" xfId="6" applyFont="1" applyBorder="1"/>
    <xf numFmtId="43" fontId="26" fillId="0" borderId="16" xfId="2" applyFont="1" applyFill="1" applyBorder="1"/>
    <xf numFmtId="43" fontId="8" fillId="0" borderId="1" xfId="2" applyFont="1" applyBorder="1"/>
    <xf numFmtId="0" fontId="26" fillId="0" borderId="47" xfId="6" applyFont="1" applyBorder="1"/>
    <xf numFmtId="0" fontId="7" fillId="0" borderId="76" xfId="6" applyFont="1" applyBorder="1" applyAlignment="1">
      <alignment horizontal="left"/>
    </xf>
    <xf numFmtId="43" fontId="26" fillId="0" borderId="1" xfId="2" applyFont="1" applyFill="1" applyBorder="1"/>
    <xf numFmtId="0" fontId="7" fillId="0" borderId="88" xfId="6" applyFont="1" applyBorder="1" applyAlignment="1">
      <alignment horizontal="left"/>
    </xf>
    <xf numFmtId="0" fontId="7" fillId="0" borderId="100" xfId="6" applyFont="1" applyBorder="1" applyAlignment="1">
      <alignment horizontal="left"/>
    </xf>
    <xf numFmtId="0" fontId="7" fillId="0" borderId="61" xfId="6" applyFont="1" applyBorder="1" applyAlignment="1">
      <alignment horizontal="left"/>
    </xf>
    <xf numFmtId="0" fontId="7" fillId="3" borderId="92" xfId="6" applyFont="1" applyFill="1" applyBorder="1"/>
    <xf numFmtId="0" fontId="8" fillId="3" borderId="8" xfId="6" applyFill="1" applyBorder="1"/>
    <xf numFmtId="0" fontId="8" fillId="3" borderId="59" xfId="6" applyFill="1" applyBorder="1"/>
    <xf numFmtId="0" fontId="8" fillId="2" borderId="8" xfId="6" applyFill="1" applyBorder="1"/>
    <xf numFmtId="0" fontId="8" fillId="2" borderId="59" xfId="6" applyFill="1" applyBorder="1"/>
    <xf numFmtId="0" fontId="7" fillId="0" borderId="54" xfId="6" applyFont="1" applyBorder="1" applyAlignment="1">
      <alignment horizontal="left"/>
    </xf>
    <xf numFmtId="43" fontId="8" fillId="0" borderId="18" xfId="2" applyFont="1" applyFill="1" applyBorder="1"/>
    <xf numFmtId="0" fontId="8" fillId="3" borderId="73" xfId="6" applyFill="1" applyBorder="1"/>
    <xf numFmtId="0" fontId="8" fillId="3" borderId="91" xfId="6" applyFill="1" applyBorder="1"/>
    <xf numFmtId="0" fontId="29" fillId="0" borderId="5" xfId="6" applyFont="1" applyBorder="1"/>
    <xf numFmtId="43" fontId="8" fillId="0" borderId="18" xfId="2" applyFont="1" applyBorder="1"/>
    <xf numFmtId="0" fontId="7" fillId="0" borderId="5" xfId="6" applyFont="1" applyBorder="1"/>
    <xf numFmtId="43" fontId="8" fillId="0" borderId="65" xfId="2" applyFont="1" applyBorder="1"/>
    <xf numFmtId="43" fontId="8" fillId="0" borderId="77" xfId="2" applyFont="1" applyBorder="1"/>
    <xf numFmtId="0" fontId="8" fillId="0" borderId="49" xfId="6" applyBorder="1"/>
    <xf numFmtId="0" fontId="8" fillId="0" borderId="37" xfId="6" applyBorder="1"/>
    <xf numFmtId="43" fontId="26" fillId="0" borderId="15" xfId="2" applyFont="1" applyBorder="1"/>
    <xf numFmtId="44" fontId="8" fillId="0" borderId="84" xfId="5" applyFont="1" applyBorder="1" applyAlignment="1">
      <alignment horizontal="center"/>
    </xf>
    <xf numFmtId="0" fontId="7" fillId="2" borderId="135" xfId="6" applyFont="1" applyFill="1" applyBorder="1" applyAlignment="1">
      <alignment horizontal="left"/>
    </xf>
    <xf numFmtId="0" fontId="21" fillId="2" borderId="37" xfId="6" applyFont="1" applyFill="1" applyBorder="1"/>
    <xf numFmtId="43" fontId="31" fillId="2" borderId="15" xfId="2" applyFont="1" applyFill="1" applyBorder="1"/>
    <xf numFmtId="8" fontId="7" fillId="2" borderId="84" xfId="5" applyNumberFormat="1" applyFont="1" applyFill="1" applyBorder="1" applyAlignment="1">
      <alignment horizontal="center"/>
    </xf>
    <xf numFmtId="0" fontId="7" fillId="0" borderId="135" xfId="6" applyFont="1" applyBorder="1" applyAlignment="1">
      <alignment horizontal="left"/>
    </xf>
    <xf numFmtId="8" fontId="7" fillId="0" borderId="93" xfId="5" applyNumberFormat="1" applyFont="1" applyFill="1" applyBorder="1"/>
    <xf numFmtId="0" fontId="7" fillId="0" borderId="69" xfId="6" applyFont="1" applyBorder="1" applyAlignment="1">
      <alignment horizontal="center"/>
    </xf>
    <xf numFmtId="0" fontId="7" fillId="0" borderId="70" xfId="6" applyFont="1" applyBorder="1" applyAlignment="1">
      <alignment horizontal="center"/>
    </xf>
    <xf numFmtId="0" fontId="7" fillId="0" borderId="18" xfId="6" applyFont="1" applyBorder="1" applyAlignment="1">
      <alignment horizontal="center"/>
    </xf>
    <xf numFmtId="44" fontId="26" fillId="0" borderId="146" xfId="5" applyFont="1" applyBorder="1"/>
    <xf numFmtId="0" fontId="7" fillId="0" borderId="0" xfId="6" applyFont="1"/>
    <xf numFmtId="0" fontId="8" fillId="0" borderId="147" xfId="6" applyBorder="1"/>
    <xf numFmtId="8" fontId="8" fillId="0" borderId="11" xfId="2" applyNumberFormat="1" applyFont="1" applyBorder="1"/>
    <xf numFmtId="8" fontId="8" fillId="0" borderId="11" xfId="5" applyNumberFormat="1" applyFont="1" applyFill="1" applyBorder="1"/>
    <xf numFmtId="10" fontId="8" fillId="0" borderId="2" xfId="6" applyNumberFormat="1" applyBorder="1"/>
    <xf numFmtId="8" fontId="8" fillId="0" borderId="16" xfId="2" applyNumberFormat="1" applyFont="1" applyBorder="1"/>
    <xf numFmtId="8" fontId="8" fillId="0" borderId="16" xfId="5" applyNumberFormat="1" applyFont="1" applyFill="1" applyBorder="1"/>
    <xf numFmtId="43" fontId="13" fillId="0" borderId="25" xfId="6" applyNumberFormat="1" applyFont="1" applyBorder="1" applyAlignment="1">
      <alignment horizontal="center" vertical="top"/>
    </xf>
    <xf numFmtId="43" fontId="13" fillId="0" borderId="4" xfId="6" applyNumberFormat="1" applyFont="1" applyBorder="1" applyAlignment="1">
      <alignment horizontal="center" vertical="top"/>
    </xf>
    <xf numFmtId="43" fontId="13" fillId="0" borderId="55" xfId="6" applyNumberFormat="1" applyFont="1" applyBorder="1" applyAlignment="1">
      <alignment horizontal="center" vertical="top"/>
    </xf>
    <xf numFmtId="0" fontId="7" fillId="3" borderId="104" xfId="6" applyFont="1" applyFill="1" applyBorder="1"/>
    <xf numFmtId="8" fontId="7" fillId="3" borderId="97" xfId="6" applyNumberFormat="1" applyFont="1" applyFill="1" applyBorder="1"/>
    <xf numFmtId="8" fontId="8" fillId="0" borderId="1" xfId="5" applyNumberFormat="1" applyFont="1" applyFill="1" applyBorder="1"/>
    <xf numFmtId="0" fontId="20" fillId="0" borderId="0" xfId="6" applyFont="1"/>
    <xf numFmtId="8" fontId="8" fillId="0" borderId="1" xfId="2" applyNumberFormat="1" applyFont="1" applyFill="1" applyBorder="1"/>
    <xf numFmtId="0" fontId="8" fillId="0" borderId="54" xfId="6" applyBorder="1" applyAlignment="1">
      <alignment horizontal="left"/>
    </xf>
    <xf numFmtId="0" fontId="8" fillId="0" borderId="4" xfId="6" applyBorder="1" applyAlignment="1">
      <alignment horizontal="left"/>
    </xf>
    <xf numFmtId="0" fontId="77" fillId="0" borderId="38" xfId="6" applyFont="1" applyBorder="1"/>
    <xf numFmtId="0" fontId="8" fillId="0" borderId="34" xfId="6" applyBorder="1" applyAlignment="1">
      <alignment horizontal="left"/>
    </xf>
    <xf numFmtId="0" fontId="8" fillId="0" borderId="0" xfId="6" applyAlignment="1">
      <alignment horizontal="left"/>
    </xf>
    <xf numFmtId="0" fontId="8" fillId="0" borderId="100" xfId="6" applyBorder="1" applyAlignment="1">
      <alignment horizontal="left"/>
    </xf>
    <xf numFmtId="0" fontId="8" fillId="0" borderId="98" xfId="6" applyBorder="1" applyAlignment="1">
      <alignment horizontal="left"/>
    </xf>
    <xf numFmtId="0" fontId="8" fillId="0" borderId="7" xfId="6" applyBorder="1" applyAlignment="1">
      <alignment horizontal="left"/>
    </xf>
    <xf numFmtId="0" fontId="8" fillId="0" borderId="99" xfId="6" applyBorder="1" applyAlignment="1">
      <alignment horizontal="left"/>
    </xf>
    <xf numFmtId="43" fontId="26" fillId="0" borderId="1" xfId="2" applyFont="1" applyBorder="1"/>
    <xf numFmtId="8" fontId="8" fillId="0" borderId="3" xfId="5" applyNumberFormat="1" applyFont="1" applyFill="1" applyBorder="1"/>
    <xf numFmtId="0" fontId="21" fillId="0" borderId="0" xfId="6" applyFont="1"/>
    <xf numFmtId="0" fontId="25" fillId="0" borderId="0" xfId="6" applyFont="1" applyAlignment="1">
      <alignment horizontal="left"/>
    </xf>
    <xf numFmtId="0" fontId="7" fillId="2" borderId="47" xfId="6" applyFont="1" applyFill="1" applyBorder="1" applyAlignment="1">
      <alignment horizontal="left"/>
    </xf>
    <xf numFmtId="0" fontId="7" fillId="2" borderId="38" xfId="6" applyFont="1" applyFill="1" applyBorder="1" applyAlignment="1">
      <alignment horizontal="left"/>
    </xf>
    <xf numFmtId="0" fontId="7" fillId="2" borderId="1" xfId="6" applyFont="1" applyFill="1" applyBorder="1" applyAlignment="1">
      <alignment horizontal="left"/>
    </xf>
    <xf numFmtId="8" fontId="7" fillId="2" borderId="1" xfId="6" applyNumberFormat="1" applyFont="1" applyFill="1" applyBorder="1" applyAlignment="1">
      <alignment horizontal="right"/>
    </xf>
    <xf numFmtId="0" fontId="7" fillId="3" borderId="72" xfId="6" applyFont="1" applyFill="1" applyBorder="1" applyAlignment="1">
      <alignment horizontal="left"/>
    </xf>
    <xf numFmtId="0" fontId="8" fillId="3" borderId="13" xfId="6" applyFill="1" applyBorder="1" applyAlignment="1">
      <alignment horizontal="center"/>
    </xf>
    <xf numFmtId="8" fontId="7" fillId="3" borderId="144" xfId="6" applyNumberFormat="1" applyFont="1" applyFill="1" applyBorder="1"/>
    <xf numFmtId="0" fontId="8" fillId="3" borderId="144" xfId="6" applyFill="1" applyBorder="1"/>
    <xf numFmtId="0" fontId="8" fillId="3" borderId="145" xfId="6" applyFill="1" applyBorder="1"/>
    <xf numFmtId="4" fontId="44" fillId="0" borderId="53" xfId="6" applyNumberFormat="1" applyFont="1" applyBorder="1"/>
    <xf numFmtId="4" fontId="44" fillId="0" borderId="64" xfId="6" applyNumberFormat="1" applyFont="1" applyBorder="1"/>
    <xf numFmtId="4" fontId="44" fillId="0" borderId="65" xfId="6" applyNumberFormat="1" applyFont="1" applyBorder="1"/>
    <xf numFmtId="37" fontId="10" fillId="0" borderId="1" xfId="6" applyNumberFormat="1" applyFont="1" applyBorder="1" applyAlignment="1">
      <alignment horizontal="left"/>
    </xf>
    <xf numFmtId="0" fontId="48" fillId="0" borderId="0" xfId="6" applyFont="1"/>
    <xf numFmtId="0" fontId="49" fillId="0" borderId="0" xfId="6" applyFont="1"/>
    <xf numFmtId="0" fontId="7" fillId="0" borderId="1" xfId="6" applyFont="1" applyBorder="1" applyAlignment="1">
      <alignment horizontal="center"/>
    </xf>
    <xf numFmtId="37" fontId="9" fillId="0" borderId="0" xfId="6" applyNumberFormat="1" applyFont="1" applyAlignment="1">
      <alignment horizontal="center"/>
    </xf>
    <xf numFmtId="37" fontId="7" fillId="0" borderId="1" xfId="6" applyNumberFormat="1" applyFont="1" applyBorder="1" applyAlignment="1">
      <alignment horizontal="left" wrapText="1"/>
    </xf>
    <xf numFmtId="37" fontId="52" fillId="0" borderId="0" xfId="6" applyNumberFormat="1" applyFont="1" applyAlignment="1">
      <alignment horizontal="left"/>
    </xf>
    <xf numFmtId="37" fontId="51" fillId="0" borderId="0" xfId="6" applyNumberFormat="1" applyFont="1" applyAlignment="1">
      <alignment horizontal="left"/>
    </xf>
    <xf numFmtId="37" fontId="7" fillId="0" borderId="1" xfId="6" applyNumberFormat="1" applyFont="1" applyBorder="1" applyAlignment="1">
      <alignment horizontal="left"/>
    </xf>
    <xf numFmtId="37" fontId="12" fillId="0" borderId="0" xfId="6" applyNumberFormat="1" applyFont="1" applyAlignment="1">
      <alignment horizontal="left"/>
    </xf>
    <xf numFmtId="37" fontId="11" fillId="0" borderId="0" xfId="6" applyNumberFormat="1" applyFont="1"/>
    <xf numFmtId="37" fontId="51" fillId="0" borderId="0" xfId="6" applyNumberFormat="1" applyFont="1" applyAlignment="1">
      <alignment horizontal="left" wrapText="1"/>
    </xf>
    <xf numFmtId="37" fontId="51" fillId="5" borderId="1" xfId="6" applyNumberFormat="1" applyFont="1" applyFill="1" applyBorder="1" applyAlignment="1">
      <alignment horizontal="left" wrapText="1"/>
    </xf>
    <xf numFmtId="0" fontId="25" fillId="5" borderId="0" xfId="6" applyFont="1" applyFill="1"/>
    <xf numFmtId="0" fontId="25" fillId="5" borderId="1" xfId="6" applyFont="1" applyFill="1" applyBorder="1"/>
    <xf numFmtId="37" fontId="7" fillId="4" borderId="1" xfId="6" applyNumberFormat="1" applyFont="1" applyFill="1" applyBorder="1" applyAlignment="1">
      <alignment horizontal="left"/>
    </xf>
    <xf numFmtId="37" fontId="51" fillId="4" borderId="0" xfId="6" applyNumberFormat="1" applyFont="1" applyFill="1" applyAlignment="1">
      <alignment horizontal="left"/>
    </xf>
    <xf numFmtId="37" fontId="7" fillId="0" borderId="0" xfId="6" applyNumberFormat="1" applyFont="1" applyAlignment="1">
      <alignment horizontal="left" wrapText="1"/>
    </xf>
    <xf numFmtId="0" fontId="8" fillId="0" borderId="107" xfId="6" applyBorder="1"/>
    <xf numFmtId="164" fontId="8" fillId="0" borderId="107" xfId="1" applyNumberFormat="1" applyFont="1" applyFill="1" applyBorder="1"/>
    <xf numFmtId="43" fontId="8" fillId="0" borderId="107" xfId="1" applyFont="1" applyFill="1" applyBorder="1"/>
    <xf numFmtId="3" fontId="7" fillId="0" borderId="107" xfId="6" applyNumberFormat="1" applyFont="1" applyBorder="1"/>
    <xf numFmtId="37" fontId="7" fillId="0" borderId="107" xfId="1" applyNumberFormat="1" applyFont="1" applyFill="1" applyBorder="1" applyProtection="1"/>
    <xf numFmtId="37" fontId="10" fillId="0" borderId="16" xfId="6" applyNumberFormat="1" applyFont="1" applyBorder="1" applyAlignment="1">
      <alignment horizontal="left"/>
    </xf>
    <xf numFmtId="37" fontId="8" fillId="4" borderId="1" xfId="6" applyNumberFormat="1" applyFill="1" applyBorder="1" applyAlignment="1">
      <alignment horizontal="left"/>
    </xf>
    <xf numFmtId="37" fontId="25" fillId="4" borderId="1" xfId="6" applyNumberFormat="1" applyFont="1" applyFill="1" applyBorder="1" applyAlignment="1">
      <alignment horizontal="left"/>
    </xf>
    <xf numFmtId="0" fontId="25" fillId="4" borderId="1" xfId="6" applyFont="1" applyFill="1" applyBorder="1"/>
    <xf numFmtId="0" fontId="25" fillId="0" borderId="1" xfId="6" applyFont="1" applyBorder="1"/>
    <xf numFmtId="164" fontId="25" fillId="0" borderId="1" xfId="6" applyNumberFormat="1" applyFont="1" applyBorder="1"/>
    <xf numFmtId="164" fontId="25" fillId="0" borderId="0" xfId="6" applyNumberFormat="1" applyFont="1"/>
    <xf numFmtId="0" fontId="51" fillId="0" borderId="0" xfId="6" applyFont="1" applyAlignment="1">
      <alignment wrapText="1"/>
    </xf>
    <xf numFmtId="37" fontId="8" fillId="4" borderId="1" xfId="6" applyNumberFormat="1" applyFill="1" applyBorder="1" applyAlignment="1">
      <alignment horizontal="left" wrapText="1"/>
    </xf>
    <xf numFmtId="0" fontId="18" fillId="5" borderId="1" xfId="6" applyFont="1" applyFill="1" applyBorder="1"/>
    <xf numFmtId="164" fontId="25" fillId="5" borderId="1" xfId="6" applyNumberFormat="1" applyFont="1" applyFill="1" applyBorder="1"/>
    <xf numFmtId="0" fontId="51" fillId="0" borderId="0" xfId="6" applyFont="1"/>
    <xf numFmtId="37" fontId="29" fillId="4" borderId="1" xfId="6" applyNumberFormat="1" applyFont="1" applyFill="1" applyBorder="1" applyAlignment="1">
      <alignment horizontal="left"/>
    </xf>
    <xf numFmtId="37" fontId="47" fillId="4" borderId="1" xfId="6" applyNumberFormat="1" applyFont="1" applyFill="1" applyBorder="1" applyAlignment="1">
      <alignment horizontal="left"/>
    </xf>
    <xf numFmtId="0" fontId="47" fillId="4" borderId="1" xfId="6" applyFont="1" applyFill="1" applyBorder="1"/>
    <xf numFmtId="0" fontId="7" fillId="4" borderId="3" xfId="6" applyFont="1" applyFill="1" applyBorder="1"/>
    <xf numFmtId="0" fontId="7" fillId="4" borderId="5" xfId="6" applyFont="1" applyFill="1" applyBorder="1"/>
    <xf numFmtId="0" fontId="7" fillId="4" borderId="2" xfId="6" applyFont="1" applyFill="1" applyBorder="1"/>
    <xf numFmtId="164" fontId="25" fillId="4" borderId="3" xfId="6" applyNumberFormat="1" applyFont="1" applyFill="1" applyBorder="1"/>
    <xf numFmtId="0" fontId="13" fillId="4" borderId="0" xfId="6" applyFont="1" applyFill="1" applyAlignment="1">
      <alignment horizontal="left"/>
    </xf>
    <xf numFmtId="0" fontId="25" fillId="4" borderId="0" xfId="6" applyFont="1" applyFill="1"/>
    <xf numFmtId="164" fontId="25" fillId="5" borderId="0" xfId="6" applyNumberFormat="1" applyFont="1" applyFill="1"/>
    <xf numFmtId="37" fontId="7" fillId="5" borderId="1" xfId="6" applyNumberFormat="1" applyFont="1" applyFill="1" applyBorder="1" applyAlignment="1">
      <alignment horizontal="left"/>
    </xf>
    <xf numFmtId="37" fontId="13" fillId="5" borderId="1" xfId="6" applyNumberFormat="1" applyFont="1" applyFill="1" applyBorder="1" applyAlignment="1">
      <alignment horizontal="left"/>
    </xf>
    <xf numFmtId="0" fontId="8" fillId="5" borderId="31" xfId="6" applyFill="1" applyBorder="1"/>
    <xf numFmtId="3" fontId="7" fillId="5" borderId="31" xfId="6" applyNumberFormat="1" applyFont="1" applyFill="1" applyBorder="1"/>
    <xf numFmtId="37" fontId="10" fillId="5" borderId="16" xfId="6" applyNumberFormat="1" applyFont="1" applyFill="1" applyBorder="1" applyAlignment="1">
      <alignment horizontal="left"/>
    </xf>
    <xf numFmtId="3" fontId="7" fillId="5" borderId="16" xfId="6" applyNumberFormat="1" applyFont="1" applyFill="1" applyBorder="1"/>
    <xf numFmtId="37" fontId="18" fillId="0" borderId="1" xfId="6" applyNumberFormat="1" applyFont="1" applyBorder="1" applyAlignment="1">
      <alignment horizontal="left" wrapText="1"/>
    </xf>
    <xf numFmtId="37" fontId="29" fillId="4" borderId="1" xfId="6" applyNumberFormat="1" applyFont="1" applyFill="1" applyBorder="1" applyAlignment="1">
      <alignment horizontal="left" wrapText="1"/>
    </xf>
    <xf numFmtId="37" fontId="47" fillId="4" borderId="1" xfId="6" applyNumberFormat="1" applyFont="1" applyFill="1" applyBorder="1" applyAlignment="1">
      <alignment horizontal="left" wrapText="1"/>
    </xf>
    <xf numFmtId="0" fontId="51" fillId="5" borderId="0" xfId="6" applyFont="1" applyFill="1"/>
    <xf numFmtId="37" fontId="25" fillId="4" borderId="1" xfId="6" applyNumberFormat="1" applyFont="1" applyFill="1" applyBorder="1" applyAlignment="1">
      <alignment horizontal="center"/>
    </xf>
    <xf numFmtId="37" fontId="25" fillId="4" borderId="1" xfId="6" applyNumberFormat="1" applyFont="1" applyFill="1" applyBorder="1" applyAlignment="1">
      <alignment horizontal="right"/>
    </xf>
    <xf numFmtId="37" fontId="7" fillId="5" borderId="1" xfId="6" applyNumberFormat="1" applyFont="1" applyFill="1" applyBorder="1" applyAlignment="1">
      <alignment horizontal="left" wrapText="1"/>
    </xf>
    <xf numFmtId="0" fontId="25" fillId="4" borderId="3" xfId="6" applyFont="1" applyFill="1" applyBorder="1"/>
    <xf numFmtId="0" fontId="13" fillId="5" borderId="0" xfId="6" applyFont="1" applyFill="1" applyAlignment="1">
      <alignment wrapText="1"/>
    </xf>
    <xf numFmtId="0" fontId="19" fillId="4" borderId="3" xfId="6" applyFont="1" applyFill="1" applyBorder="1" applyAlignment="1">
      <alignment horizontal="left"/>
    </xf>
    <xf numFmtId="0" fontId="25" fillId="4" borderId="5" xfId="6" applyFont="1" applyFill="1" applyBorder="1"/>
    <xf numFmtId="164" fontId="47" fillId="4" borderId="5" xfId="6" applyNumberFormat="1" applyFont="1" applyFill="1" applyBorder="1"/>
    <xf numFmtId="37" fontId="13" fillId="5" borderId="16" xfId="6" applyNumberFormat="1" applyFont="1" applyFill="1" applyBorder="1" applyAlignment="1">
      <alignment horizontal="left"/>
    </xf>
    <xf numFmtId="0" fontId="8" fillId="5" borderId="15" xfId="6" applyFill="1" applyBorder="1"/>
    <xf numFmtId="3" fontId="7" fillId="5" borderId="15" xfId="6" applyNumberFormat="1" applyFont="1" applyFill="1" applyBorder="1"/>
    <xf numFmtId="0" fontId="8" fillId="5" borderId="26" xfId="6" applyFill="1" applyBorder="1"/>
    <xf numFmtId="3" fontId="7" fillId="5" borderId="26" xfId="6" applyNumberFormat="1" applyFont="1" applyFill="1" applyBorder="1"/>
    <xf numFmtId="37" fontId="10" fillId="5" borderId="1" xfId="6" applyNumberFormat="1" applyFont="1" applyFill="1" applyBorder="1" applyAlignment="1">
      <alignment horizontal="left"/>
    </xf>
    <xf numFmtId="3" fontId="7" fillId="5" borderId="1" xfId="6" applyNumberFormat="1" applyFont="1" applyFill="1" applyBorder="1"/>
    <xf numFmtId="4" fontId="25" fillId="5" borderId="0" xfId="6" applyNumberFormat="1" applyFont="1" applyFill="1"/>
    <xf numFmtId="43" fontId="25" fillId="5" borderId="0" xfId="6" applyNumberFormat="1" applyFont="1" applyFill="1"/>
    <xf numFmtId="39" fontId="25" fillId="5" borderId="0" xfId="6" applyNumberFormat="1" applyFont="1" applyFill="1"/>
    <xf numFmtId="37" fontId="8" fillId="5" borderId="1" xfId="6" applyNumberFormat="1" applyFill="1" applyBorder="1" applyAlignment="1">
      <alignment horizontal="left"/>
    </xf>
    <xf numFmtId="0" fontId="55" fillId="0" borderId="0" xfId="6" applyFont="1"/>
    <xf numFmtId="3" fontId="53" fillId="5" borderId="1" xfId="6" applyNumberFormat="1" applyFont="1" applyFill="1" applyBorder="1"/>
    <xf numFmtId="37" fontId="7" fillId="5" borderId="18" xfId="6" applyNumberFormat="1" applyFont="1" applyFill="1" applyBorder="1" applyAlignment="1">
      <alignment horizontal="left"/>
    </xf>
    <xf numFmtId="37" fontId="7" fillId="4" borderId="18" xfId="6" applyNumberFormat="1" applyFont="1" applyFill="1" applyBorder="1" applyAlignment="1">
      <alignment horizontal="left"/>
    </xf>
    <xf numFmtId="3" fontId="7" fillId="4" borderId="1" xfId="6" applyNumberFormat="1" applyFont="1" applyFill="1" applyBorder="1"/>
    <xf numFmtId="37" fontId="19" fillId="4" borderId="18" xfId="6" applyNumberFormat="1" applyFont="1" applyFill="1" applyBorder="1" applyAlignment="1">
      <alignment horizontal="left"/>
    </xf>
    <xf numFmtId="0" fontId="13" fillId="5" borderId="2" xfId="6" applyFont="1" applyFill="1" applyBorder="1" applyAlignment="1">
      <alignment horizontal="left" wrapText="1"/>
    </xf>
    <xf numFmtId="0" fontId="7" fillId="5" borderId="29" xfId="6" applyFont="1" applyFill="1" applyBorder="1"/>
    <xf numFmtId="0" fontId="7" fillId="5" borderId="31" xfId="6" applyFont="1" applyFill="1" applyBorder="1"/>
    <xf numFmtId="37" fontId="10" fillId="5" borderId="104" xfId="6" applyNumberFormat="1" applyFont="1" applyFill="1" applyBorder="1" applyAlignment="1">
      <alignment horizontal="left"/>
    </xf>
    <xf numFmtId="0" fontId="7" fillId="0" borderId="116" xfId="6" applyFont="1" applyBorder="1"/>
    <xf numFmtId="37" fontId="10" fillId="0" borderId="17" xfId="6" applyNumberFormat="1" applyFont="1" applyBorder="1" applyAlignment="1">
      <alignment horizontal="left"/>
    </xf>
    <xf numFmtId="0" fontId="28" fillId="0" borderId="0" xfId="6" applyFont="1"/>
    <xf numFmtId="37" fontId="7" fillId="0" borderId="1" xfId="6" applyNumberFormat="1" applyFont="1" applyFill="1" applyBorder="1" applyAlignment="1">
      <alignment horizontal="left"/>
    </xf>
    <xf numFmtId="0" fontId="13" fillId="0" borderId="0" xfId="6" applyFont="1" applyFill="1"/>
    <xf numFmtId="10" fontId="29" fillId="0" borderId="1" xfId="9" applyNumberFormat="1" applyFont="1" applyFill="1" applyBorder="1"/>
    <xf numFmtId="37" fontId="13" fillId="0" borderId="1" xfId="6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Border="1" applyAlignment="1">
      <alignment wrapText="1"/>
    </xf>
    <xf numFmtId="41" fontId="8" fillId="0" borderId="1" xfId="7" applyNumberFormat="1" applyFont="1" applyFill="1" applyBorder="1"/>
    <xf numFmtId="41" fontId="8" fillId="0" borderId="15" xfId="7" applyNumberFormat="1" applyFont="1" applyFill="1" applyBorder="1"/>
    <xf numFmtId="44" fontId="8" fillId="0" borderId="1" xfId="7" applyNumberFormat="1" applyFont="1" applyFill="1" applyBorder="1"/>
    <xf numFmtId="44" fontId="8" fillId="4" borderId="1" xfId="7" applyNumberFormat="1" applyFont="1" applyFill="1" applyBorder="1"/>
    <xf numFmtId="41" fontId="0" fillId="0" borderId="16" xfId="0" applyNumberFormat="1" applyBorder="1"/>
    <xf numFmtId="166" fontId="0" fillId="0" borderId="16" xfId="0" applyNumberFormat="1" applyBorder="1"/>
    <xf numFmtId="0" fontId="0" fillId="0" borderId="1" xfId="0" applyBorder="1"/>
    <xf numFmtId="42" fontId="76" fillId="4" borderId="1" xfId="0" applyNumberFormat="1" applyFont="1" applyFill="1" applyBorder="1"/>
    <xf numFmtId="0" fontId="8" fillId="0" borderId="59" xfId="7" applyBorder="1"/>
    <xf numFmtId="169" fontId="9" fillId="0" borderId="144" xfId="7" applyNumberFormat="1" applyFont="1" applyFill="1" applyBorder="1" applyProtection="1"/>
    <xf numFmtId="167" fontId="8" fillId="0" borderId="25" xfId="7" applyNumberFormat="1" applyFont="1" applyFill="1" applyBorder="1"/>
    <xf numFmtId="167" fontId="8" fillId="0" borderId="3" xfId="7" applyNumberFormat="1" applyFont="1" applyFill="1" applyBorder="1"/>
    <xf numFmtId="167" fontId="8" fillId="0" borderId="27" xfId="7" applyNumberFormat="1" applyFont="1" applyFill="1" applyBorder="1"/>
    <xf numFmtId="167" fontId="8" fillId="0" borderId="1" xfId="0" applyNumberFormat="1" applyFont="1" applyFill="1" applyBorder="1"/>
    <xf numFmtId="0" fontId="8" fillId="0" borderId="1" xfId="0" applyFont="1" applyFill="1" applyBorder="1"/>
    <xf numFmtId="167" fontId="0" fillId="0" borderId="1" xfId="0" applyNumberFormat="1" applyBorder="1"/>
    <xf numFmtId="173" fontId="7" fillId="0" borderId="25" xfId="7" applyNumberFormat="1" applyFont="1" applyFill="1" applyBorder="1"/>
    <xf numFmtId="173" fontId="8" fillId="0" borderId="3" xfId="7" applyNumberFormat="1" applyFont="1" applyFill="1" applyBorder="1"/>
    <xf numFmtId="173" fontId="8" fillId="0" borderId="24" xfId="7" applyNumberFormat="1" applyFont="1" applyFill="1" applyBorder="1"/>
    <xf numFmtId="173" fontId="8" fillId="0" borderId="27" xfId="7" applyNumberFormat="1" applyFont="1" applyFill="1" applyBorder="1"/>
    <xf numFmtId="173" fontId="7" fillId="0" borderId="95" xfId="7" applyNumberFormat="1" applyFont="1" applyFill="1" applyBorder="1"/>
    <xf numFmtId="173" fontId="7" fillId="0" borderId="30" xfId="7" applyNumberFormat="1" applyFont="1" applyFill="1" applyBorder="1"/>
    <xf numFmtId="44" fontId="27" fillId="3" borderId="32" xfId="7" applyNumberFormat="1" applyFont="1" applyFill="1" applyBorder="1"/>
    <xf numFmtId="0" fontId="0" fillId="0" borderId="16" xfId="0" applyBorder="1"/>
    <xf numFmtId="173" fontId="7" fillId="0" borderId="16" xfId="0" applyNumberFormat="1" applyFont="1" applyBorder="1"/>
    <xf numFmtId="0" fontId="0" fillId="0" borderId="15" xfId="0" applyBorder="1"/>
    <xf numFmtId="173" fontId="7" fillId="12" borderId="16" xfId="7" applyNumberFormat="1" applyFont="1" applyFill="1" applyBorder="1"/>
    <xf numFmtId="0" fontId="8" fillId="12" borderId="16" xfId="0" applyFont="1" applyFill="1" applyBorder="1"/>
    <xf numFmtId="167" fontId="7" fillId="0" borderId="16" xfId="5" applyNumberFormat="1" applyFont="1" applyFill="1" applyBorder="1"/>
    <xf numFmtId="4" fontId="0" fillId="0" borderId="15" xfId="0" applyNumberFormat="1" applyBorder="1"/>
    <xf numFmtId="167" fontId="7" fillId="0" borderId="16" xfId="0" applyNumberFormat="1" applyFont="1" applyBorder="1"/>
    <xf numFmtId="4" fontId="0" fillId="0" borderId="33" xfId="0" applyNumberFormat="1" applyBorder="1"/>
    <xf numFmtId="167" fontId="27" fillId="3" borderId="25" xfId="7" applyNumberFormat="1" applyFont="1" applyFill="1" applyBorder="1"/>
    <xf numFmtId="167" fontId="7" fillId="3" borderId="1" xfId="0" applyNumberFormat="1" applyFont="1" applyFill="1" applyBorder="1"/>
    <xf numFmtId="167" fontId="7" fillId="0" borderId="16" xfId="0" applyNumberFormat="1" applyFont="1" applyFill="1" applyBorder="1"/>
    <xf numFmtId="167" fontId="8" fillId="0" borderId="15" xfId="0" applyNumberFormat="1" applyFont="1" applyFill="1" applyBorder="1"/>
    <xf numFmtId="0" fontId="75" fillId="4" borderId="0" xfId="0" applyFont="1" applyFill="1"/>
    <xf numFmtId="167" fontId="0" fillId="0" borderId="0" xfId="0" applyNumberFormat="1" applyBorder="1"/>
    <xf numFmtId="167" fontId="75" fillId="4" borderId="16" xfId="7" applyNumberFormat="1" applyFont="1" applyFill="1" applyBorder="1"/>
    <xf numFmtId="167" fontId="75" fillId="4" borderId="1" xfId="7" applyNumberFormat="1" applyFont="1" applyFill="1" applyBorder="1"/>
    <xf numFmtId="167" fontId="75" fillId="4" borderId="15" xfId="7" applyNumberFormat="1" applyFont="1" applyFill="1" applyBorder="1"/>
    <xf numFmtId="167" fontId="76" fillId="4" borderId="16" xfId="0" applyNumberFormat="1" applyFont="1" applyFill="1" applyBorder="1"/>
    <xf numFmtId="167" fontId="75" fillId="4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8" fillId="2" borderId="1" xfId="0" applyNumberFormat="1" applyFont="1" applyFill="1" applyBorder="1"/>
    <xf numFmtId="164" fontId="7" fillId="2" borderId="1" xfId="1" applyNumberFormat="1" applyFont="1" applyFill="1" applyBorder="1"/>
    <xf numFmtId="164" fontId="8" fillId="0" borderId="1" xfId="0" applyNumberFormat="1" applyFont="1" applyFill="1" applyBorder="1"/>
    <xf numFmtId="164" fontId="8" fillId="2" borderId="1" xfId="0" applyNumberFormat="1" applyFont="1" applyFill="1" applyBorder="1"/>
    <xf numFmtId="164" fontId="7" fillId="0" borderId="1" xfId="0" applyNumberFormat="1" applyFont="1" applyFill="1" applyBorder="1"/>
    <xf numFmtId="164" fontId="7" fillId="2" borderId="1" xfId="0" applyNumberFormat="1" applyFont="1" applyFill="1" applyBorder="1"/>
    <xf numFmtId="0" fontId="0" fillId="2" borderId="1" xfId="0" applyFill="1" applyBorder="1"/>
    <xf numFmtId="164" fontId="7" fillId="0" borderId="1" xfId="1" applyNumberFormat="1" applyFont="1" applyFill="1" applyBorder="1" applyProtection="1"/>
    <xf numFmtId="164" fontId="7" fillId="2" borderId="1" xfId="1" applyNumberFormat="1" applyFont="1" applyFill="1" applyBorder="1" applyProtection="1"/>
    <xf numFmtId="37" fontId="7" fillId="3" borderId="1" xfId="0" applyNumberFormat="1" applyFont="1" applyFill="1" applyBorder="1" applyProtection="1"/>
    <xf numFmtId="0" fontId="7" fillId="13" borderId="0" xfId="0" applyFont="1" applyFill="1" applyAlignment="1">
      <alignment horizontal="center"/>
    </xf>
    <xf numFmtId="0" fontId="0" fillId="13" borderId="0" xfId="0" applyFill="1"/>
    <xf numFmtId="0" fontId="7" fillId="13" borderId="0" xfId="0" applyFont="1" applyFill="1" applyBorder="1" applyAlignment="1">
      <alignment horizontal="center"/>
    </xf>
    <xf numFmtId="3" fontId="0" fillId="13" borderId="1" xfId="0" applyNumberFormat="1" applyFill="1" applyBorder="1"/>
    <xf numFmtId="3" fontId="7" fillId="13" borderId="1" xfId="0" applyNumberFormat="1" applyFont="1" applyFill="1" applyBorder="1"/>
    <xf numFmtId="0" fontId="0" fillId="13" borderId="1" xfId="0" applyFill="1" applyBorder="1"/>
    <xf numFmtId="0" fontId="7" fillId="13" borderId="1" xfId="0" applyFont="1" applyFill="1" applyBorder="1"/>
    <xf numFmtId="3" fontId="8" fillId="13" borderId="1" xfId="0" applyNumberFormat="1" applyFont="1" applyFill="1" applyBorder="1"/>
    <xf numFmtId="37" fontId="7" fillId="13" borderId="1" xfId="0" applyNumberFormat="1" applyFont="1" applyFill="1" applyBorder="1" applyProtection="1"/>
    <xf numFmtId="37" fontId="13" fillId="0" borderId="1" xfId="6" applyNumberFormat="1" applyFont="1" applyFill="1" applyBorder="1" applyAlignment="1">
      <alignment horizontal="left"/>
    </xf>
    <xf numFmtId="3" fontId="76" fillId="0" borderId="1" xfId="1" applyNumberFormat="1" applyFont="1" applyFill="1" applyBorder="1"/>
    <xf numFmtId="3" fontId="76" fillId="4" borderId="1" xfId="1" applyNumberFormat="1" applyFont="1" applyFill="1" applyBorder="1"/>
    <xf numFmtId="3" fontId="8" fillId="5" borderId="0" xfId="0" applyNumberFormat="1" applyFont="1" applyFill="1" applyBorder="1"/>
    <xf numFmtId="0" fontId="7" fillId="0" borderId="35" xfId="0" applyFont="1" applyFill="1" applyBorder="1"/>
    <xf numFmtId="164" fontId="0" fillId="0" borderId="36" xfId="1" applyNumberFormat="1" applyFont="1" applyFill="1" applyBorder="1"/>
    <xf numFmtId="42" fontId="0" fillId="0" borderId="0" xfId="0" applyNumberFormat="1"/>
    <xf numFmtId="42" fontId="29" fillId="0" borderId="0" xfId="0" applyNumberFormat="1" applyFont="1" applyBorder="1"/>
    <xf numFmtId="169" fontId="9" fillId="0" borderId="0" xfId="7" applyNumberFormat="1" applyFont="1" applyFill="1" applyBorder="1" applyAlignment="1" applyProtection="1">
      <alignment horizontal="center" wrapText="1"/>
    </xf>
    <xf numFmtId="165" fontId="7" fillId="0" borderId="16" xfId="5" applyNumberFormat="1" applyFont="1" applyFill="1" applyBorder="1"/>
    <xf numFmtId="44" fontId="7" fillId="0" borderId="0" xfId="5" applyFont="1" applyFill="1" applyBorder="1"/>
    <xf numFmtId="167" fontId="8" fillId="0" borderId="24" xfId="7" applyNumberFormat="1" applyFont="1" applyFill="1" applyBorder="1"/>
    <xf numFmtId="37" fontId="61" fillId="0" borderId="0" xfId="7" applyNumberFormat="1" applyFont="1" applyFill="1" applyBorder="1" applyAlignment="1" applyProtection="1">
      <alignment horizontal="center" wrapText="1"/>
    </xf>
    <xf numFmtId="41" fontId="8" fillId="0" borderId="1" xfId="0" applyNumberFormat="1" applyFont="1" applyFill="1" applyBorder="1"/>
    <xf numFmtId="2" fontId="29" fillId="0" borderId="0" xfId="0" applyNumberFormat="1" applyFont="1" applyBorder="1"/>
    <xf numFmtId="44" fontId="0" fillId="0" borderId="0" xfId="0" applyNumberFormat="1"/>
    <xf numFmtId="42" fontId="64" fillId="0" borderId="0" xfId="2" applyNumberFormat="1" applyFont="1" applyFill="1" applyBorder="1"/>
    <xf numFmtId="42" fontId="8" fillId="0" borderId="0" xfId="7" applyNumberFormat="1" applyFill="1" applyBorder="1"/>
    <xf numFmtId="9" fontId="8" fillId="0" borderId="0" xfId="0" applyNumberFormat="1" applyFont="1" applyBorder="1" applyAlignment="1">
      <alignment horizontal="center"/>
    </xf>
    <xf numFmtId="3" fontId="78" fillId="0" borderId="0" xfId="0" applyNumberFormat="1" applyFont="1"/>
    <xf numFmtId="42" fontId="78" fillId="0" borderId="0" xfId="0" applyNumberFormat="1" applyFont="1"/>
    <xf numFmtId="0" fontId="78" fillId="0" borderId="0" xfId="0" applyFont="1" applyFill="1"/>
    <xf numFmtId="171" fontId="75" fillId="0" borderId="1" xfId="0" applyNumberFormat="1" applyFont="1" applyBorder="1"/>
    <xf numFmtId="171" fontId="75" fillId="0" borderId="1" xfId="0" applyNumberFormat="1" applyFont="1" applyFill="1" applyBorder="1"/>
    <xf numFmtId="171" fontId="75" fillId="0" borderId="15" xfId="0" applyNumberFormat="1" applyFont="1" applyFill="1" applyBorder="1"/>
    <xf numFmtId="171" fontId="75" fillId="0" borderId="16" xfId="0" applyNumberFormat="1" applyFont="1" applyBorder="1"/>
    <xf numFmtId="9" fontId="79" fillId="0" borderId="0" xfId="9" applyFont="1" applyFill="1" applyBorder="1" applyAlignment="1" applyProtection="1">
      <alignment horizontal="center"/>
    </xf>
    <xf numFmtId="0" fontId="75" fillId="0" borderId="0" xfId="0" applyFont="1" applyFill="1" applyBorder="1"/>
    <xf numFmtId="167" fontId="75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2" fontId="8" fillId="0" borderId="1" xfId="7" applyNumberFormat="1" applyBorder="1" applyAlignment="1">
      <alignment horizontal="right"/>
    </xf>
    <xf numFmtId="3" fontId="75" fillId="6" borderId="1" xfId="0" applyNumberFormat="1" applyFont="1" applyFill="1" applyBorder="1"/>
    <xf numFmtId="3" fontId="76" fillId="5" borderId="1" xfId="1" applyNumberFormat="1" applyFont="1" applyFill="1" applyBorder="1"/>
    <xf numFmtId="0" fontId="7" fillId="5" borderId="0" xfId="0" applyFont="1" applyFill="1" applyBorder="1" applyAlignment="1">
      <alignment horizontal="center"/>
    </xf>
    <xf numFmtId="164" fontId="8" fillId="5" borderId="3" xfId="0" applyNumberFormat="1" applyFont="1" applyFill="1" applyBorder="1"/>
    <xf numFmtId="3" fontId="8" fillId="5" borderId="3" xfId="0" applyNumberFormat="1" applyFont="1" applyFill="1" applyBorder="1"/>
    <xf numFmtId="164" fontId="8" fillId="13" borderId="3" xfId="0" applyNumberFormat="1" applyFont="1" applyFill="1" applyBorder="1"/>
    <xf numFmtId="164" fontId="8" fillId="4" borderId="3" xfId="0" applyNumberFormat="1" applyFont="1" applyFill="1" applyBorder="1"/>
    <xf numFmtId="0" fontId="0" fillId="5" borderId="3" xfId="0" applyFill="1" applyBorder="1"/>
    <xf numFmtId="164" fontId="7" fillId="5" borderId="3" xfId="1" applyNumberFormat="1" applyFont="1" applyFill="1" applyBorder="1" applyProtection="1"/>
    <xf numFmtId="42" fontId="64" fillId="0" borderId="1" xfId="2" applyNumberFormat="1" applyFont="1" applyFill="1" applyBorder="1"/>
    <xf numFmtId="3" fontId="0" fillId="0" borderId="1" xfId="0" applyNumberFormat="1" applyBorder="1"/>
    <xf numFmtId="9" fontId="8" fillId="0" borderId="1" xfId="0" applyNumberFormat="1" applyFont="1" applyBorder="1" applyAlignment="1">
      <alignment horizontal="center"/>
    </xf>
    <xf numFmtId="0" fontId="8" fillId="12" borderId="1" xfId="0" applyFont="1" applyFill="1" applyBorder="1"/>
    <xf numFmtId="37" fontId="10" fillId="0" borderId="1" xfId="0" applyNumberFormat="1" applyFont="1" applyFill="1" applyBorder="1" applyAlignment="1" applyProtection="1">
      <alignment horizontal="left"/>
    </xf>
    <xf numFmtId="9" fontId="8" fillId="0" borderId="1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" xfId="0" applyFont="1" applyFill="1" applyBorder="1"/>
    <xf numFmtId="0" fontId="7" fillId="0" borderId="16" xfId="0" applyFont="1" applyBorder="1"/>
    <xf numFmtId="0" fontId="0" fillId="0" borderId="33" xfId="0" applyBorder="1"/>
    <xf numFmtId="37" fontId="7" fillId="0" borderId="16" xfId="0" applyNumberFormat="1" applyFont="1" applyFill="1" applyBorder="1" applyAlignment="1" applyProtection="1">
      <alignment horizontal="left"/>
    </xf>
    <xf numFmtId="3" fontId="0" fillId="0" borderId="16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0" fontId="0" fillId="0" borderId="15" xfId="0" applyFill="1" applyBorder="1"/>
    <xf numFmtId="8" fontId="8" fillId="0" borderId="16" xfId="0" applyNumberFormat="1" applyFont="1" applyFill="1" applyBorder="1"/>
    <xf numFmtId="37" fontId="13" fillId="0" borderId="0" xfId="0" applyNumberFormat="1" applyFont="1" applyFill="1" applyBorder="1" applyAlignment="1" applyProtection="1">
      <alignment horizontal="left"/>
    </xf>
    <xf numFmtId="0" fontId="81" fillId="0" borderId="148" xfId="0" applyFont="1" applyBorder="1" applyAlignment="1">
      <alignment horizontal="center" vertical="center" wrapText="1"/>
    </xf>
    <xf numFmtId="0" fontId="81" fillId="0" borderId="149" xfId="0" applyFont="1" applyBorder="1" applyAlignment="1">
      <alignment horizontal="center" vertical="center" wrapText="1"/>
    </xf>
    <xf numFmtId="0" fontId="73" fillId="0" borderId="149" xfId="0" applyFont="1" applyBorder="1" applyAlignment="1">
      <alignment horizontal="center" vertical="center" wrapText="1"/>
    </xf>
    <xf numFmtId="0" fontId="81" fillId="0" borderId="150" xfId="0" applyFont="1" applyBorder="1" applyAlignment="1">
      <alignment horizontal="center" vertical="center" wrapText="1"/>
    </xf>
    <xf numFmtId="8" fontId="73" fillId="0" borderId="151" xfId="0" applyNumberFormat="1" applyFont="1" applyBorder="1" applyAlignment="1">
      <alignment horizontal="center" vertical="center" wrapText="1"/>
    </xf>
    <xf numFmtId="0" fontId="73" fillId="0" borderId="151" xfId="0" applyFont="1" applyBorder="1" applyAlignment="1">
      <alignment horizontal="center" vertical="center" wrapText="1"/>
    </xf>
    <xf numFmtId="8" fontId="7" fillId="0" borderId="66" xfId="4" applyNumberFormat="1" applyFont="1" applyFill="1" applyBorder="1"/>
    <xf numFmtId="8" fontId="8" fillId="0" borderId="16" xfId="4" applyNumberFormat="1" applyFont="1" applyFill="1" applyBorder="1"/>
    <xf numFmtId="0" fontId="8" fillId="0" borderId="1" xfId="6" applyBorder="1" applyAlignment="1">
      <alignment horizontal="left"/>
    </xf>
    <xf numFmtId="164" fontId="4" fillId="0" borderId="0" xfId="2" applyNumberFormat="1" applyFont="1"/>
    <xf numFmtId="164" fontId="4" fillId="0" borderId="0" xfId="2" applyNumberFormat="1" applyFont="1" applyFill="1" applyBorder="1"/>
    <xf numFmtId="164" fontId="7" fillId="0" borderId="0" xfId="7" applyNumberFormat="1" applyFont="1"/>
    <xf numFmtId="164" fontId="4" fillId="0" borderId="0" xfId="2" applyNumberFormat="1" applyFont="1" applyBorder="1"/>
    <xf numFmtId="164" fontId="4" fillId="0" borderId="66" xfId="2" applyNumberFormat="1" applyFont="1" applyBorder="1"/>
    <xf numFmtId="164" fontId="4" fillId="0" borderId="65" xfId="2" applyNumberFormat="1" applyFont="1" applyBorder="1"/>
    <xf numFmtId="164" fontId="4" fillId="0" borderId="64" xfId="2" applyNumberFormat="1" applyFont="1" applyBorder="1"/>
    <xf numFmtId="164" fontId="4" fillId="0" borderId="64" xfId="2" applyNumberFormat="1" applyFont="1" applyBorder="1" applyAlignment="1">
      <alignment horizontal="right"/>
    </xf>
    <xf numFmtId="164" fontId="4" fillId="0" borderId="1" xfId="2" applyNumberFormat="1" applyFont="1" applyBorder="1"/>
    <xf numFmtId="0" fontId="4" fillId="0" borderId="64" xfId="2" applyNumberFormat="1" applyFont="1" applyBorder="1" applyAlignment="1">
      <alignment horizontal="right"/>
    </xf>
    <xf numFmtId="164" fontId="4" fillId="0" borderId="64" xfId="2" applyNumberFormat="1" applyFont="1" applyFill="1" applyBorder="1"/>
    <xf numFmtId="164" fontId="4" fillId="0" borderId="1" xfId="2" applyNumberFormat="1" applyFont="1" applyFill="1" applyBorder="1"/>
    <xf numFmtId="164" fontId="4" fillId="0" borderId="53" xfId="2" applyNumberFormat="1" applyFont="1" applyBorder="1" applyAlignment="1">
      <alignment horizontal="right"/>
    </xf>
    <xf numFmtId="164" fontId="4" fillId="0" borderId="16" xfId="2" applyNumberFormat="1" applyFont="1" applyBorder="1"/>
    <xf numFmtId="164" fontId="4" fillId="0" borderId="0" xfId="2" applyNumberFormat="1" applyFont="1" applyFill="1"/>
    <xf numFmtId="164" fontId="4" fillId="0" borderId="18" xfId="2" applyNumberFormat="1" applyFont="1" applyBorder="1"/>
    <xf numFmtId="164" fontId="4" fillId="0" borderId="34" xfId="2" applyNumberFormat="1" applyFont="1" applyBorder="1"/>
    <xf numFmtId="164" fontId="4" fillId="0" borderId="61" xfId="2" applyNumberFormat="1" applyFont="1" applyBorder="1"/>
    <xf numFmtId="164" fontId="4" fillId="0" borderId="2" xfId="2" applyNumberFormat="1" applyFont="1" applyBorder="1"/>
    <xf numFmtId="164" fontId="25" fillId="0" borderId="64" xfId="6" applyNumberFormat="1" applyFont="1" applyBorder="1"/>
    <xf numFmtId="164" fontId="8" fillId="0" borderId="53" xfId="6" applyNumberFormat="1" applyBorder="1"/>
    <xf numFmtId="164" fontId="4" fillId="0" borderId="16" xfId="2" applyNumberFormat="1" applyFont="1" applyFill="1" applyBorder="1"/>
    <xf numFmtId="0" fontId="7" fillId="0" borderId="18" xfId="6" applyFont="1" applyBorder="1"/>
    <xf numFmtId="0" fontId="8" fillId="0" borderId="26" xfId="6" applyBorder="1"/>
    <xf numFmtId="164" fontId="4" fillId="0" borderId="24" xfId="2" applyNumberFormat="1" applyFont="1" applyFill="1" applyBorder="1"/>
    <xf numFmtId="164" fontId="4" fillId="0" borderId="18" xfId="2" applyNumberFormat="1" applyFont="1" applyFill="1" applyBorder="1"/>
    <xf numFmtId="164" fontId="4" fillId="0" borderId="25" xfId="2" applyNumberFormat="1" applyFont="1" applyFill="1" applyBorder="1"/>
    <xf numFmtId="164" fontId="4" fillId="0" borderId="3" xfId="2" applyNumberFormat="1" applyFont="1" applyFill="1" applyBorder="1"/>
    <xf numFmtId="164" fontId="4" fillId="0" borderId="30" xfId="2" applyNumberFormat="1" applyFont="1" applyFill="1" applyBorder="1"/>
    <xf numFmtId="164" fontId="4" fillId="0" borderId="26" xfId="2" applyNumberFormat="1" applyFont="1" applyBorder="1"/>
    <xf numFmtId="164" fontId="4" fillId="0" borderId="24" xfId="2" applyNumberFormat="1" applyFont="1" applyBorder="1"/>
    <xf numFmtId="0" fontId="13" fillId="0" borderId="18" xfId="6" applyFont="1" applyBorder="1" applyAlignment="1">
      <alignment horizontal="right"/>
    </xf>
    <xf numFmtId="164" fontId="4" fillId="0" borderId="3" xfId="2" applyNumberFormat="1" applyFont="1" applyBorder="1"/>
    <xf numFmtId="44" fontId="8" fillId="0" borderId="1" xfId="7" applyNumberFormat="1" applyFill="1" applyBorder="1"/>
    <xf numFmtId="0" fontId="7" fillId="0" borderId="0" xfId="7" applyFont="1" applyAlignment="1">
      <alignment horizontal="left"/>
    </xf>
    <xf numFmtId="167" fontId="7" fillId="0" borderId="16" xfId="0" applyNumberFormat="1" applyFont="1" applyFill="1" applyBorder="1" applyAlignment="1" applyProtection="1">
      <alignment horizontal="right"/>
    </xf>
    <xf numFmtId="167" fontId="8" fillId="0" borderId="0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8" fillId="12" borderId="1" xfId="0" applyNumberFormat="1" applyFont="1" applyFill="1" applyBorder="1"/>
    <xf numFmtId="167" fontId="10" fillId="0" borderId="1" xfId="0" applyNumberFormat="1" applyFont="1" applyFill="1" applyBorder="1" applyAlignment="1" applyProtection="1">
      <alignment horizontal="left"/>
    </xf>
    <xf numFmtId="167" fontId="0" fillId="0" borderId="15" xfId="0" applyNumberFormat="1" applyBorder="1"/>
    <xf numFmtId="167" fontId="7" fillId="0" borderId="13" xfId="0" applyNumberFormat="1" applyFont="1" applyBorder="1" applyAlignment="1">
      <alignment horizontal="center"/>
    </xf>
    <xf numFmtId="167" fontId="0" fillId="0" borderId="16" xfId="0" applyNumberFormat="1" applyBorder="1"/>
    <xf numFmtId="167" fontId="0" fillId="0" borderId="33" xfId="0" applyNumberFormat="1" applyBorder="1"/>
    <xf numFmtId="167" fontId="7" fillId="0" borderId="1" xfId="0" applyNumberFormat="1" applyFont="1" applyBorder="1"/>
    <xf numFmtId="0" fontId="7" fillId="0" borderId="0" xfId="0" applyFont="1" applyAlignment="1">
      <alignment horizontal="center"/>
    </xf>
    <xf numFmtId="164" fontId="3" fillId="0" borderId="0" xfId="2" applyNumberFormat="1" applyFont="1"/>
    <xf numFmtId="37" fontId="9" fillId="0" borderId="0" xfId="0" applyNumberFormat="1" applyFont="1" applyAlignment="1">
      <alignment horizontal="center"/>
    </xf>
    <xf numFmtId="164" fontId="3" fillId="0" borderId="1" xfId="2" applyNumberFormat="1" applyFont="1" applyFill="1" applyBorder="1"/>
    <xf numFmtId="164" fontId="3" fillId="0" borderId="0" xfId="2" applyNumberFormat="1" applyFont="1" applyBorder="1"/>
    <xf numFmtId="164" fontId="3" fillId="5" borderId="18" xfId="2" applyNumberFormat="1" applyFont="1" applyFill="1" applyBorder="1"/>
    <xf numFmtId="164" fontId="3" fillId="0" borderId="18" xfId="2" applyNumberFormat="1" applyFont="1" applyFill="1" applyBorder="1"/>
    <xf numFmtId="164" fontId="3" fillId="5" borderId="19" xfId="2" applyNumberFormat="1" applyFont="1" applyFill="1" applyBorder="1"/>
    <xf numFmtId="164" fontId="3" fillId="0" borderId="19" xfId="2" applyNumberFormat="1" applyFont="1" applyFill="1" applyBorder="1"/>
    <xf numFmtId="0" fontId="8" fillId="5" borderId="16" xfId="7" applyFill="1" applyBorder="1"/>
    <xf numFmtId="164" fontId="3" fillId="0" borderId="16" xfId="2" applyNumberFormat="1" applyFont="1" applyFill="1" applyBorder="1"/>
    <xf numFmtId="0" fontId="8" fillId="5" borderId="18" xfId="7" applyFill="1" applyBorder="1"/>
    <xf numFmtId="164" fontId="3" fillId="5" borderId="16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 applyFill="1" applyBorder="1"/>
    <xf numFmtId="164" fontId="3" fillId="0" borderId="19" xfId="2" applyNumberFormat="1" applyFont="1" applyBorder="1"/>
    <xf numFmtId="0" fontId="8" fillId="0" borderId="26" xfId="7" applyBorder="1"/>
    <xf numFmtId="164" fontId="3" fillId="0" borderId="20" xfId="2" applyNumberFormat="1" applyFont="1" applyBorder="1"/>
    <xf numFmtId="0" fontId="7" fillId="0" borderId="35" xfId="7" applyFont="1" applyBorder="1" applyAlignment="1">
      <alignment horizontal="left"/>
    </xf>
    <xf numFmtId="0" fontId="7" fillId="0" borderId="36" xfId="7" applyFont="1" applyBorder="1" applyAlignment="1">
      <alignment horizontal="left"/>
    </xf>
    <xf numFmtId="164" fontId="3" fillId="5" borderId="0" xfId="2" applyNumberFormat="1" applyFont="1" applyFill="1" applyBorder="1"/>
    <xf numFmtId="164" fontId="3" fillId="5" borderId="51" xfId="2" applyNumberFormat="1" applyFont="1" applyFill="1" applyBorder="1"/>
    <xf numFmtId="0" fontId="7" fillId="0" borderId="34" xfId="7" applyFont="1" applyBorder="1" applyAlignment="1">
      <alignment horizontal="left"/>
    </xf>
    <xf numFmtId="0" fontId="7" fillId="5" borderId="0" xfId="7" applyFont="1" applyFill="1" applyAlignment="1">
      <alignment horizontal="left"/>
    </xf>
    <xf numFmtId="164" fontId="3" fillId="4" borderId="0" xfId="2" applyNumberFormat="1" applyFont="1" applyFill="1"/>
    <xf numFmtId="0" fontId="13" fillId="0" borderId="0" xfId="7" applyFont="1"/>
    <xf numFmtId="0" fontId="0" fillId="0" borderId="0" xfId="7" applyFont="1"/>
    <xf numFmtId="0" fontId="8" fillId="5" borderId="0" xfId="7" applyFill="1" applyAlignment="1">
      <alignment horizontal="center"/>
    </xf>
    <xf numFmtId="164" fontId="3" fillId="5" borderId="0" xfId="2" applyNumberFormat="1" applyFont="1" applyFill="1"/>
    <xf numFmtId="164" fontId="3" fillId="0" borderId="0" xfId="2" applyNumberFormat="1" applyFont="1" applyAlignment="1">
      <alignment horizontal="left"/>
    </xf>
    <xf numFmtId="166" fontId="3" fillId="0" borderId="0" xfId="5" applyNumberFormat="1" applyFont="1" applyAlignment="1">
      <alignment horizontal="left"/>
    </xf>
    <xf numFmtId="0" fontId="0" fillId="0" borderId="0" xfId="0" applyAlignment="1">
      <alignment horizontal="center"/>
    </xf>
    <xf numFmtId="166" fontId="3" fillId="0" borderId="0" xfId="5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1" xfId="0" applyNumberFormat="1" applyFont="1" applyBorder="1"/>
    <xf numFmtId="0" fontId="81" fillId="0" borderId="153" xfId="0" applyFont="1" applyBorder="1" applyAlignment="1">
      <alignment horizontal="center" vertical="center" wrapText="1"/>
    </xf>
    <xf numFmtId="6" fontId="73" fillId="0" borderId="152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8" fontId="73" fillId="0" borderId="0" xfId="0" applyNumberFormat="1" applyFont="1" applyBorder="1" applyAlignment="1">
      <alignment horizontal="center" vertical="center" wrapText="1"/>
    </xf>
    <xf numFmtId="6" fontId="7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54" xfId="6" applyFont="1" applyBorder="1" applyAlignment="1">
      <alignment horizontal="left"/>
    </xf>
    <xf numFmtId="0" fontId="42" fillId="0" borderId="4" xfId="6" applyFont="1" applyBorder="1" applyAlignment="1">
      <alignment horizontal="left"/>
    </xf>
    <xf numFmtId="0" fontId="42" fillId="0" borderId="28" xfId="6" applyFont="1" applyBorder="1" applyAlignment="1">
      <alignment horizontal="left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8" fillId="0" borderId="52" xfId="6" applyBorder="1"/>
    <xf numFmtId="0" fontId="8" fillId="0" borderId="5" xfId="6" applyBorder="1"/>
    <xf numFmtId="0" fontId="7" fillId="0" borderId="52" xfId="6" applyFont="1" applyBorder="1" applyAlignment="1">
      <alignment horizontal="left"/>
    </xf>
    <xf numFmtId="0" fontId="8" fillId="0" borderId="2" xfId="6" applyBorder="1" applyAlignment="1">
      <alignment horizontal="left"/>
    </xf>
    <xf numFmtId="0" fontId="8" fillId="0" borderId="78" xfId="6" applyBorder="1" applyAlignment="1">
      <alignment horizontal="left"/>
    </xf>
    <xf numFmtId="0" fontId="8" fillId="0" borderId="79" xfId="6" applyBorder="1" applyAlignment="1">
      <alignment horizontal="left"/>
    </xf>
    <xf numFmtId="0" fontId="8" fillId="0" borderId="96" xfId="6" applyBorder="1" applyAlignment="1">
      <alignment horizontal="left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7" fillId="0" borderId="92" xfId="6" applyFont="1" applyBorder="1" applyAlignment="1">
      <alignment horizontal="left"/>
    </xf>
    <xf numFmtId="0" fontId="7" fillId="0" borderId="8" xfId="6" applyFont="1" applyBorder="1" applyAlignment="1">
      <alignment horizontal="left"/>
    </xf>
    <xf numFmtId="0" fontId="7" fillId="0" borderId="59" xfId="6" applyFont="1" applyBorder="1" applyAlignment="1">
      <alignment horizontal="left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1" xfId="6" applyBorder="1" applyAlignment="1">
      <alignment horizontal="left"/>
    </xf>
    <xf numFmtId="0" fontId="8" fillId="0" borderId="38" xfId="6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2" fontId="78" fillId="0" borderId="0" xfId="0" applyNumberFormat="1" applyFont="1" applyBorder="1"/>
    <xf numFmtId="0" fontId="78" fillId="0" borderId="0" xfId="0" applyFont="1" applyBorder="1"/>
    <xf numFmtId="0" fontId="82" fillId="0" borderId="0" xfId="0" applyFont="1" applyBorder="1"/>
    <xf numFmtId="0" fontId="82" fillId="0" borderId="0" xfId="0" applyFont="1"/>
    <xf numFmtId="42" fontId="82" fillId="0" borderId="0" xfId="0" applyNumberFormat="1" applyFont="1"/>
    <xf numFmtId="167" fontId="23" fillId="0" borderId="0" xfId="0" applyNumberFormat="1" applyFont="1" applyFill="1" applyAlignment="1">
      <alignment horizontal="right"/>
    </xf>
    <xf numFmtId="2" fontId="82" fillId="0" borderId="0" xfId="0" applyNumberFormat="1" applyFont="1"/>
    <xf numFmtId="44" fontId="0" fillId="0" borderId="0" xfId="4" applyFont="1"/>
    <xf numFmtId="0" fontId="7" fillId="0" borderId="0" xfId="6" applyFont="1" applyAlignment="1">
      <alignment horizontal="center" wrapText="1"/>
    </xf>
    <xf numFmtId="0" fontId="7" fillId="4" borderId="39" xfId="6" applyFont="1" applyFill="1" applyBorder="1"/>
    <xf numFmtId="44" fontId="7" fillId="0" borderId="40" xfId="4" applyFont="1" applyBorder="1" applyAlignment="1">
      <alignment horizontal="center"/>
    </xf>
    <xf numFmtId="0" fontId="8" fillId="0" borderId="42" xfId="6" applyBorder="1"/>
    <xf numFmtId="0" fontId="8" fillId="0" borderId="75" xfId="6" applyBorder="1"/>
    <xf numFmtId="0" fontId="7" fillId="0" borderId="39" xfId="6" applyFont="1" applyBorder="1"/>
    <xf numFmtId="0" fontId="35" fillId="0" borderId="0" xfId="6" applyFont="1" applyAlignment="1">
      <alignment horizontal="center" vertical="center" wrapText="1"/>
    </xf>
    <xf numFmtId="44" fontId="8" fillId="0" borderId="3" xfId="4" applyFont="1" applyBorder="1"/>
    <xf numFmtId="44" fontId="7" fillId="0" borderId="42" xfId="4" applyFont="1" applyBorder="1" applyAlignment="1">
      <alignment horizontal="center"/>
    </xf>
    <xf numFmtId="164" fontId="26" fillId="0" borderId="4" xfId="2" applyNumberFormat="1" applyFont="1" applyFill="1" applyBorder="1"/>
    <xf numFmtId="0" fontId="8" fillId="2" borderId="56" xfId="6" applyFill="1" applyBorder="1" applyAlignment="1">
      <alignment horizontal="left"/>
    </xf>
    <xf numFmtId="0" fontId="8" fillId="2" borderId="16" xfId="6" applyFill="1" applyBorder="1" applyAlignment="1">
      <alignment horizontal="left"/>
    </xf>
    <xf numFmtId="164" fontId="8" fillId="2" borderId="11" xfId="2" applyNumberFormat="1" applyFont="1" applyFill="1" applyBorder="1"/>
    <xf numFmtId="44" fontId="8" fillId="2" borderId="11" xfId="4" applyFont="1" applyFill="1" applyBorder="1"/>
    <xf numFmtId="167" fontId="8" fillId="2" borderId="11" xfId="4" applyNumberFormat="1" applyFont="1" applyFill="1" applyBorder="1"/>
    <xf numFmtId="167" fontId="8" fillId="2" borderId="12" xfId="4" applyNumberFormat="1" applyFont="1" applyFill="1" applyBorder="1"/>
    <xf numFmtId="0" fontId="8" fillId="15" borderId="63" xfId="6" applyFill="1" applyBorder="1"/>
    <xf numFmtId="0" fontId="8" fillId="15" borderId="76" xfId="6" applyFill="1" applyBorder="1" applyAlignment="1">
      <alignment horizontal="center"/>
    </xf>
    <xf numFmtId="44" fontId="8" fillId="15" borderId="26" xfId="4" applyFont="1" applyFill="1" applyBorder="1" applyAlignment="1">
      <alignment horizontal="center"/>
    </xf>
    <xf numFmtId="44" fontId="8" fillId="15" borderId="30" xfId="5" applyFont="1" applyFill="1" applyBorder="1"/>
    <xf numFmtId="164" fontId="8" fillId="0" borderId="64" xfId="2" applyNumberFormat="1" applyFont="1" applyFill="1" applyBorder="1"/>
    <xf numFmtId="44" fontId="8" fillId="0" borderId="5" xfId="4" applyFont="1" applyFill="1" applyBorder="1"/>
    <xf numFmtId="0" fontId="7" fillId="0" borderId="92" xfId="6" applyFont="1" applyBorder="1"/>
    <xf numFmtId="0" fontId="7" fillId="0" borderId="8" xfId="6" applyFont="1" applyBorder="1"/>
    <xf numFmtId="0" fontId="7" fillId="0" borderId="59" xfId="6" applyFont="1" applyBorder="1"/>
    <xf numFmtId="44" fontId="8" fillId="0" borderId="4" xfId="4" applyFont="1" applyFill="1" applyBorder="1"/>
    <xf numFmtId="164" fontId="8" fillId="0" borderId="1" xfId="2" applyNumberFormat="1" applyFont="1" applyBorder="1"/>
    <xf numFmtId="3" fontId="8" fillId="0" borderId="1" xfId="4" applyNumberFormat="1" applyFont="1" applyFill="1" applyBorder="1"/>
    <xf numFmtId="167" fontId="8" fillId="0" borderId="1" xfId="4" applyNumberFormat="1" applyFont="1" applyFill="1" applyBorder="1"/>
    <xf numFmtId="167" fontId="8" fillId="0" borderId="64" xfId="4" applyNumberFormat="1" applyFont="1" applyFill="1" applyBorder="1"/>
    <xf numFmtId="0" fontId="8" fillId="15" borderId="34" xfId="6" applyFill="1" applyBorder="1"/>
    <xf numFmtId="0" fontId="8" fillId="15" borderId="0" xfId="6" applyFill="1" applyAlignment="1">
      <alignment horizontal="center"/>
    </xf>
    <xf numFmtId="44" fontId="8" fillId="15" borderId="76" xfId="4" applyFont="1" applyFill="1" applyBorder="1" applyAlignment="1">
      <alignment horizontal="center"/>
    </xf>
    <xf numFmtId="164" fontId="8" fillId="0" borderId="100" xfId="2" applyNumberFormat="1" applyFont="1" applyFill="1" applyBorder="1"/>
    <xf numFmtId="3" fontId="8" fillId="0" borderId="1" xfId="2" applyNumberFormat="1" applyFont="1" applyBorder="1"/>
    <xf numFmtId="167" fontId="8" fillId="0" borderId="64" xfId="6" applyNumberFormat="1" applyBorder="1"/>
    <xf numFmtId="44" fontId="7" fillId="0" borderId="45" xfId="4" applyFont="1" applyBorder="1" applyAlignment="1">
      <alignment horizontal="left"/>
    </xf>
    <xf numFmtId="44" fontId="7" fillId="0" borderId="107" xfId="5" applyFont="1" applyBorder="1" applyAlignment="1">
      <alignment horizontal="center"/>
    </xf>
    <xf numFmtId="44" fontId="8" fillId="0" borderId="89" xfId="4" applyFont="1" applyFill="1" applyBorder="1"/>
    <xf numFmtId="44" fontId="8" fillId="0" borderId="67" xfId="4" applyFont="1" applyFill="1" applyBorder="1"/>
    <xf numFmtId="0" fontId="83" fillId="0" borderId="38" xfId="6" applyFont="1" applyBorder="1" applyAlignment="1">
      <alignment horizontal="left"/>
    </xf>
    <xf numFmtId="3" fontId="8" fillId="0" borderId="3" xfId="2" applyNumberFormat="1" applyFont="1" applyFill="1" applyBorder="1"/>
    <xf numFmtId="167" fontId="0" fillId="0" borderId="1" xfId="2" applyNumberFormat="1" applyFont="1" applyFill="1" applyBorder="1"/>
    <xf numFmtId="44" fontId="8" fillId="0" borderId="42" xfId="4" applyBorder="1" applyAlignment="1">
      <alignment horizontal="center"/>
    </xf>
    <xf numFmtId="44" fontId="8" fillId="0" borderId="54" xfId="4" applyFont="1" applyFill="1" applyBorder="1"/>
    <xf numFmtId="1" fontId="8" fillId="0" borderId="18" xfId="6" applyNumberFormat="1" applyBorder="1" applyAlignment="1">
      <alignment horizontal="right"/>
    </xf>
    <xf numFmtId="44" fontId="8" fillId="0" borderId="18" xfId="4" applyFont="1" applyFill="1" applyBorder="1" applyAlignment="1">
      <alignment horizontal="right"/>
    </xf>
    <xf numFmtId="0" fontId="83" fillId="0" borderId="1" xfId="6" applyFont="1" applyBorder="1" applyAlignment="1">
      <alignment horizontal="left"/>
    </xf>
    <xf numFmtId="44" fontId="0" fillId="0" borderId="16" xfId="4" applyFont="1" applyBorder="1"/>
    <xf numFmtId="8" fontId="25" fillId="0" borderId="25" xfId="5" applyNumberFormat="1" applyFont="1" applyBorder="1"/>
    <xf numFmtId="44" fontId="8" fillId="0" borderId="100" xfId="4" applyFont="1" applyFill="1" applyBorder="1"/>
    <xf numFmtId="0" fontId="7" fillId="0" borderId="68" xfId="6" applyFont="1" applyBorder="1" applyAlignment="1">
      <alignment horizontal="left"/>
    </xf>
    <xf numFmtId="44" fontId="7" fillId="0" borderId="37" xfId="4" applyFont="1" applyFill="1" applyBorder="1" applyAlignment="1">
      <alignment horizontal="left"/>
    </xf>
    <xf numFmtId="44" fontId="7" fillId="0" borderId="15" xfId="4" applyFont="1" applyFill="1" applyBorder="1" applyAlignment="1">
      <alignment horizontal="left"/>
    </xf>
    <xf numFmtId="44" fontId="27" fillId="0" borderId="66" xfId="4" applyFont="1" applyFill="1" applyBorder="1"/>
    <xf numFmtId="167" fontId="0" fillId="0" borderId="64" xfId="2" applyNumberFormat="1" applyFont="1" applyFill="1" applyBorder="1"/>
    <xf numFmtId="0" fontId="13" fillId="0" borderId="25" xfId="6" applyFont="1" applyBorder="1" applyAlignment="1">
      <alignment horizontal="center" vertical="top" wrapText="1"/>
    </xf>
    <xf numFmtId="0" fontId="13" fillId="0" borderId="4" xfId="6" applyFont="1" applyBorder="1" applyAlignment="1">
      <alignment horizontal="center" vertical="top" wrapText="1"/>
    </xf>
    <xf numFmtId="0" fontId="13" fillId="0" borderId="55" xfId="6" applyFont="1" applyBorder="1" applyAlignment="1">
      <alignment horizontal="center" vertical="top" wrapText="1"/>
    </xf>
    <xf numFmtId="44" fontId="7" fillId="0" borderId="37" xfId="4" applyFont="1" applyFill="1" applyBorder="1"/>
    <xf numFmtId="44" fontId="7" fillId="0" borderId="66" xfId="4" applyFont="1" applyFill="1" applyBorder="1"/>
    <xf numFmtId="164" fontId="7" fillId="0" borderId="15" xfId="2" applyNumberFormat="1" applyFont="1" applyFill="1" applyBorder="1"/>
    <xf numFmtId="0" fontId="84" fillId="2" borderId="38" xfId="6" applyFont="1" applyFill="1" applyBorder="1" applyAlignment="1">
      <alignment horizontal="right"/>
    </xf>
    <xf numFmtId="0" fontId="8" fillId="2" borderId="1" xfId="6" applyFill="1" applyBorder="1" applyAlignment="1">
      <alignment horizontal="left"/>
    </xf>
    <xf numFmtId="164" fontId="8" fillId="2" borderId="1" xfId="2" applyNumberFormat="1" applyFont="1" applyFill="1" applyBorder="1"/>
    <xf numFmtId="164" fontId="8" fillId="2" borderId="3" xfId="2" applyNumberFormat="1" applyFont="1" applyFill="1" applyBorder="1"/>
    <xf numFmtId="167" fontId="8" fillId="2" borderId="1" xfId="2" applyNumberFormat="1" applyFont="1" applyFill="1" applyBorder="1"/>
    <xf numFmtId="167" fontId="8" fillId="2" borderId="64" xfId="4" applyNumberFormat="1" applyFont="1" applyFill="1" applyBorder="1"/>
    <xf numFmtId="44" fontId="8" fillId="0" borderId="53" xfId="5" applyFont="1" applyFill="1" applyBorder="1"/>
    <xf numFmtId="44" fontId="7" fillId="0" borderId="100" xfId="4" applyFont="1" applyFill="1" applyBorder="1"/>
    <xf numFmtId="39" fontId="7" fillId="0" borderId="100" xfId="6" applyNumberFormat="1" applyFont="1" applyBorder="1"/>
    <xf numFmtId="167" fontId="8" fillId="0" borderId="64" xfId="4" applyNumberFormat="1" applyFont="1" applyBorder="1"/>
    <xf numFmtId="44" fontId="0" fillId="0" borderId="1" xfId="4" applyFont="1" applyBorder="1"/>
    <xf numFmtId="0" fontId="8" fillId="0" borderId="38" xfId="4" applyNumberFormat="1" applyFont="1" applyFill="1" applyBorder="1"/>
    <xf numFmtId="0" fontId="8" fillId="0" borderId="64" xfId="4" applyNumberFormat="1" applyFont="1" applyFill="1" applyBorder="1"/>
    <xf numFmtId="44" fontId="8" fillId="0" borderId="4" xfId="5" applyFont="1" applyFill="1" applyBorder="1"/>
    <xf numFmtId="10" fontId="8" fillId="0" borderId="5" xfId="6" applyNumberFormat="1" applyBorder="1"/>
    <xf numFmtId="0" fontId="7" fillId="0" borderId="70" xfId="6" applyFont="1" applyBorder="1"/>
    <xf numFmtId="8" fontId="7" fillId="0" borderId="65" xfId="4" applyNumberFormat="1" applyFont="1" applyFill="1" applyBorder="1"/>
    <xf numFmtId="164" fontId="38" fillId="0" borderId="16" xfId="2" applyNumberFormat="1" applyFont="1" applyFill="1" applyBorder="1"/>
    <xf numFmtId="44" fontId="38" fillId="0" borderId="53" xfId="4" applyFont="1" applyFill="1" applyBorder="1"/>
    <xf numFmtId="167" fontId="8" fillId="0" borderId="3" xfId="2" applyNumberFormat="1" applyFont="1" applyFill="1" applyBorder="1"/>
    <xf numFmtId="44" fontId="8" fillId="0" borderId="72" xfId="4" applyFont="1" applyFill="1" applyBorder="1"/>
    <xf numFmtId="1" fontId="8" fillId="0" borderId="14" xfId="4" applyNumberFormat="1" applyFont="1" applyFill="1" applyBorder="1"/>
    <xf numFmtId="0" fontId="8" fillId="0" borderId="100" xfId="4" applyNumberFormat="1" applyFont="1" applyFill="1" applyBorder="1"/>
    <xf numFmtId="44" fontId="7" fillId="0" borderId="53" xfId="4" applyFont="1" applyFill="1" applyBorder="1"/>
    <xf numFmtId="1" fontId="8" fillId="0" borderId="100" xfId="4" applyNumberFormat="1" applyFont="1" applyFill="1" applyBorder="1"/>
    <xf numFmtId="0" fontId="7" fillId="3" borderId="37" xfId="6" applyFont="1" applyFill="1" applyBorder="1"/>
    <xf numFmtId="8" fontId="7" fillId="3" borderId="66" xfId="4" applyNumberFormat="1" applyFont="1" applyFill="1" applyBorder="1"/>
    <xf numFmtId="0" fontId="7" fillId="0" borderId="56" xfId="6" applyFont="1" applyBorder="1"/>
    <xf numFmtId="39" fontId="7" fillId="0" borderId="0" xfId="6" applyNumberFormat="1" applyFont="1"/>
    <xf numFmtId="0" fontId="7" fillId="0" borderId="37" xfId="6" applyFont="1" applyBorder="1" applyAlignment="1">
      <alignment horizontal="left"/>
    </xf>
    <xf numFmtId="164" fontId="0" fillId="0" borderId="64" xfId="2" applyNumberFormat="1" applyFont="1" applyFill="1" applyBorder="1"/>
    <xf numFmtId="0" fontId="7" fillId="3" borderId="56" xfId="6" applyFont="1" applyFill="1" applyBorder="1" applyAlignment="1">
      <alignment horizontal="left"/>
    </xf>
    <xf numFmtId="0" fontId="8" fillId="3" borderId="16" xfId="6" applyFill="1" applyBorder="1" applyAlignment="1">
      <alignment horizontal="left"/>
    </xf>
    <xf numFmtId="44" fontId="7" fillId="3" borderId="53" xfId="4" applyFont="1" applyFill="1" applyBorder="1"/>
    <xf numFmtId="44" fontId="0" fillId="0" borderId="26" xfId="4" applyFont="1" applyFill="1" applyBorder="1"/>
    <xf numFmtId="167" fontId="8" fillId="0" borderId="1" xfId="2" applyNumberFormat="1" applyFont="1" applyFill="1" applyBorder="1"/>
    <xf numFmtId="0" fontId="7" fillId="0" borderId="37" xfId="6" applyFont="1" applyBorder="1"/>
    <xf numFmtId="0" fontId="8" fillId="0" borderId="47" xfId="6" applyBorder="1" applyAlignment="1">
      <alignment horizontal="left"/>
    </xf>
    <xf numFmtId="43" fontId="25" fillId="0" borderId="25" xfId="2" applyFont="1" applyBorder="1"/>
    <xf numFmtId="0" fontId="26" fillId="0" borderId="38" xfId="0" applyFont="1" applyBorder="1"/>
    <xf numFmtId="164" fontId="7" fillId="0" borderId="8" xfId="2" applyNumberFormat="1" applyFont="1" applyFill="1" applyBorder="1"/>
    <xf numFmtId="39" fontId="7" fillId="0" borderId="66" xfId="6" applyNumberFormat="1" applyFont="1" applyBorder="1"/>
    <xf numFmtId="44" fontId="0" fillId="0" borderId="0" xfId="4" applyFont="1" applyFill="1" applyBorder="1"/>
    <xf numFmtId="43" fontId="0" fillId="0" borderId="25" xfId="2" applyFont="1" applyBorder="1"/>
    <xf numFmtId="164" fontId="27" fillId="0" borderId="4" xfId="2" applyNumberFormat="1" applyFont="1" applyFill="1" applyBorder="1"/>
    <xf numFmtId="164" fontId="8" fillId="0" borderId="1" xfId="6" applyNumberFormat="1" applyBorder="1"/>
    <xf numFmtId="167" fontId="0" fillId="0" borderId="1" xfId="2" applyNumberFormat="1" applyFont="1" applyBorder="1"/>
    <xf numFmtId="0" fontId="8" fillId="0" borderId="8" xfId="6" applyBorder="1"/>
    <xf numFmtId="0" fontId="8" fillId="0" borderId="59" xfId="6" applyBorder="1"/>
    <xf numFmtId="164" fontId="26" fillId="0" borderId="15" xfId="2" applyNumberFormat="1" applyFont="1" applyFill="1" applyBorder="1"/>
    <xf numFmtId="43" fontId="0" fillId="0" borderId="24" xfId="2" applyFont="1" applyBorder="1"/>
    <xf numFmtId="44" fontId="7" fillId="0" borderId="1" xfId="5" applyFont="1" applyBorder="1"/>
    <xf numFmtId="44" fontId="27" fillId="0" borderId="100" xfId="4" applyFont="1" applyFill="1" applyBorder="1"/>
    <xf numFmtId="44" fontId="0" fillId="0" borderId="15" xfId="4" applyFont="1" applyBorder="1"/>
    <xf numFmtId="44" fontId="16" fillId="0" borderId="84" xfId="5" applyFont="1" applyBorder="1" applyAlignment="1">
      <alignment horizontal="center"/>
    </xf>
    <xf numFmtId="8" fontId="7" fillId="0" borderId="93" xfId="5" applyNumberFormat="1" applyFont="1" applyBorder="1"/>
    <xf numFmtId="0" fontId="16" fillId="0" borderId="41" xfId="6" applyFont="1" applyBorder="1" applyAlignment="1">
      <alignment horizontal="center"/>
    </xf>
    <xf numFmtId="0" fontId="16" fillId="0" borderId="42" xfId="6" applyFont="1" applyBorder="1" applyAlignment="1">
      <alignment horizontal="center"/>
    </xf>
    <xf numFmtId="44" fontId="16" fillId="0" borderId="42" xfId="4" applyFont="1" applyBorder="1" applyAlignment="1">
      <alignment horizontal="center"/>
    </xf>
    <xf numFmtId="0" fontId="16" fillId="0" borderId="50" xfId="6" applyFont="1" applyBorder="1" applyAlignment="1">
      <alignment horizontal="center"/>
    </xf>
    <xf numFmtId="10" fontId="8" fillId="0" borderId="1" xfId="6" applyNumberFormat="1" applyBorder="1" applyAlignment="1">
      <alignment horizontal="center"/>
    </xf>
    <xf numFmtId="167" fontId="26" fillId="0" borderId="64" xfId="4" applyNumberFormat="1" applyFont="1" applyFill="1" applyBorder="1"/>
    <xf numFmtId="44" fontId="7" fillId="0" borderId="18" xfId="4" applyFont="1" applyBorder="1" applyAlignment="1">
      <alignment horizontal="center"/>
    </xf>
    <xf numFmtId="44" fontId="8" fillId="0" borderId="70" xfId="4" applyFont="1" applyFill="1" applyBorder="1"/>
    <xf numFmtId="167" fontId="26" fillId="0" borderId="64" xfId="4" applyNumberFormat="1" applyFont="1" applyBorder="1"/>
    <xf numFmtId="0" fontId="45" fillId="0" borderId="71" xfId="6" applyFont="1" applyBorder="1"/>
    <xf numFmtId="44" fontId="85" fillId="0" borderId="11" xfId="4" applyFont="1" applyBorder="1"/>
    <xf numFmtId="44" fontId="8" fillId="0" borderId="16" xfId="4" applyFont="1" applyBorder="1"/>
    <xf numFmtId="0" fontId="7" fillId="0" borderId="104" xfId="6" applyFont="1" applyBorder="1" applyAlignment="1">
      <alignment horizontal="left"/>
    </xf>
    <xf numFmtId="8" fontId="7" fillId="0" borderId="97" xfId="4" applyNumberFormat="1" applyFont="1" applyFill="1" applyBorder="1"/>
    <xf numFmtId="167" fontId="0" fillId="0" borderId="18" xfId="2" applyNumberFormat="1" applyFont="1" applyBorder="1"/>
    <xf numFmtId="167" fontId="8" fillId="0" borderId="65" xfId="4" applyNumberFormat="1" applyFont="1" applyBorder="1"/>
    <xf numFmtId="0" fontId="7" fillId="2" borderId="89" xfId="6" applyFont="1" applyFill="1" applyBorder="1" applyAlignment="1">
      <alignment horizontal="left"/>
    </xf>
    <xf numFmtId="0" fontId="7" fillId="2" borderId="29" xfId="6" applyFont="1" applyFill="1" applyBorder="1" applyAlignment="1">
      <alignment horizontal="left"/>
    </xf>
    <xf numFmtId="0" fontId="7" fillId="2" borderId="29" xfId="6" applyFont="1" applyFill="1" applyBorder="1"/>
    <xf numFmtId="167" fontId="7" fillId="2" borderId="67" xfId="4" applyNumberFormat="1" applyFont="1" applyFill="1" applyBorder="1"/>
    <xf numFmtId="44" fontId="29" fillId="0" borderId="1" xfId="4" applyFont="1" applyFill="1" applyBorder="1"/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44" fontId="8" fillId="0" borderId="1" xfId="4" applyFont="1" applyBorder="1"/>
    <xf numFmtId="0" fontId="7" fillId="3" borderId="52" xfId="6" applyFont="1" applyFill="1" applyBorder="1" applyAlignment="1">
      <alignment horizontal="left"/>
    </xf>
    <xf numFmtId="0" fontId="7" fillId="3" borderId="5" xfId="6" applyFont="1" applyFill="1" applyBorder="1" applyAlignment="1">
      <alignment horizontal="left"/>
    </xf>
    <xf numFmtId="0" fontId="7" fillId="3" borderId="2" xfId="6" applyFont="1" applyFill="1" applyBorder="1" applyAlignment="1">
      <alignment horizontal="left"/>
    </xf>
    <xf numFmtId="44" fontId="7" fillId="3" borderId="64" xfId="4" applyFont="1" applyFill="1" applyBorder="1"/>
    <xf numFmtId="8" fontId="26" fillId="0" borderId="3" xfId="5" applyNumberFormat="1" applyFont="1" applyBorder="1"/>
    <xf numFmtId="0" fontId="8" fillId="15" borderId="38" xfId="6" applyFill="1" applyBorder="1"/>
    <xf numFmtId="0" fontId="45" fillId="0" borderId="1" xfId="6" applyFont="1" applyBorder="1"/>
    <xf numFmtId="44" fontId="45" fillId="0" borderId="1" xfId="4" applyFont="1" applyBorder="1"/>
    <xf numFmtId="0" fontId="45" fillId="0" borderId="0" xfId="6" applyFont="1"/>
    <xf numFmtId="0" fontId="86" fillId="0" borderId="1" xfId="6" applyFont="1" applyBorder="1" applyAlignment="1">
      <alignment horizontal="left"/>
    </xf>
    <xf numFmtId="44" fontId="86" fillId="0" borderId="1" xfId="4" applyFont="1" applyBorder="1" applyAlignment="1">
      <alignment horizontal="left"/>
    </xf>
    <xf numFmtId="8" fontId="86" fillId="0" borderId="1" xfId="6" applyNumberFormat="1" applyFont="1" applyBorder="1" applyAlignment="1">
      <alignment horizontal="center"/>
    </xf>
    <xf numFmtId="44" fontId="29" fillId="0" borderId="0" xfId="4" applyFont="1" applyFill="1" applyBorder="1"/>
    <xf numFmtId="0" fontId="7" fillId="0" borderId="72" xfId="6" applyFont="1" applyBorder="1" applyAlignment="1">
      <alignment horizontal="left"/>
    </xf>
    <xf numFmtId="0" fontId="45" fillId="0" borderId="13" xfId="6" applyFont="1" applyBorder="1" applyAlignment="1">
      <alignment horizontal="center"/>
    </xf>
    <xf numFmtId="44" fontId="45" fillId="0" borderId="13" xfId="4" applyFont="1" applyBorder="1" applyAlignment="1">
      <alignment horizontal="center"/>
    </xf>
    <xf numFmtId="8" fontId="86" fillId="0" borderId="144" xfId="6" applyNumberFormat="1" applyFont="1" applyBorder="1"/>
    <xf numFmtId="0" fontId="8" fillId="0" borderId="144" xfId="6" applyBorder="1"/>
    <xf numFmtId="0" fontId="8" fillId="0" borderId="73" xfId="6" applyBorder="1"/>
    <xf numFmtId="0" fontId="8" fillId="0" borderId="145" xfId="6" applyBorder="1"/>
    <xf numFmtId="164" fontId="2" fillId="0" borderId="0" xfId="2" applyNumberFormat="1" applyFont="1" applyBorder="1"/>
    <xf numFmtId="4" fontId="44" fillId="0" borderId="0" xfId="6" applyNumberFormat="1" applyFont="1"/>
    <xf numFmtId="44" fontId="44" fillId="0" borderId="0" xfId="4" applyFont="1" applyFill="1" applyBorder="1"/>
    <xf numFmtId="44" fontId="45" fillId="0" borderId="0" xfId="4" applyFont="1" applyFill="1" applyBorder="1"/>
    <xf numFmtId="44" fontId="44" fillId="0" borderId="0" xfId="4" applyFont="1" applyFill="1" applyBorder="1" applyAlignment="1">
      <alignment horizontal="right"/>
    </xf>
    <xf numFmtId="0" fontId="58" fillId="0" borderId="36" xfId="6" applyFont="1" applyBorder="1" applyAlignment="1">
      <alignment horizontal="center"/>
    </xf>
    <xf numFmtId="0" fontId="8" fillId="0" borderId="1" xfId="7" applyBorder="1" applyAlignment="1">
      <alignment horizontal="center"/>
    </xf>
    <xf numFmtId="0" fontId="13" fillId="0" borderId="3" xfId="6" applyFont="1" applyBorder="1" applyAlignment="1">
      <alignment horizontal="left" vertical="top"/>
    </xf>
    <xf numFmtId="0" fontId="7" fillId="0" borderId="44" xfId="6" applyFont="1" applyBorder="1" applyAlignment="1">
      <alignment horizontal="left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44" fontId="1" fillId="0" borderId="1" xfId="5" applyFont="1" applyFill="1" applyBorder="1"/>
    <xf numFmtId="42" fontId="1" fillId="0" borderId="1" xfId="5" applyNumberFormat="1" applyFont="1" applyFill="1" applyBorder="1"/>
    <xf numFmtId="42" fontId="1" fillId="0" borderId="115" xfId="5" applyNumberFormat="1" applyFont="1" applyFill="1" applyBorder="1"/>
    <xf numFmtId="16" fontId="8" fillId="0" borderId="1" xfId="7" applyNumberFormat="1" applyFill="1" applyBorder="1" applyAlignment="1">
      <alignment horizontal="right"/>
    </xf>
    <xf numFmtId="0" fontId="30" fillId="0" borderId="1" xfId="7" applyFont="1" applyFill="1" applyBorder="1"/>
    <xf numFmtId="0" fontId="8" fillId="0" borderId="0" xfId="6" applyFill="1"/>
    <xf numFmtId="0" fontId="7" fillId="0" borderId="0" xfId="7" applyFont="1" applyAlignment="1">
      <alignment horizontal="right"/>
    </xf>
    <xf numFmtId="0" fontId="7" fillId="0" borderId="156" xfId="6" applyFont="1" applyBorder="1" applyAlignment="1">
      <alignment horizontal="center"/>
    </xf>
    <xf numFmtId="0" fontId="8" fillId="0" borderId="76" xfId="6" applyBorder="1"/>
    <xf numFmtId="0" fontId="8" fillId="0" borderId="0" xfId="6" applyBorder="1"/>
    <xf numFmtId="0" fontId="21" fillId="2" borderId="59" xfId="6" applyFont="1" applyFill="1" applyBorder="1"/>
    <xf numFmtId="0" fontId="7" fillId="0" borderId="61" xfId="6" applyFont="1" applyBorder="1" applyAlignment="1">
      <alignment horizontal="center"/>
    </xf>
    <xf numFmtId="0" fontId="77" fillId="0" borderId="2" xfId="6" applyFont="1" applyBorder="1"/>
    <xf numFmtId="0" fontId="7" fillId="2" borderId="2" xfId="6" applyFont="1" applyFill="1" applyBorder="1" applyAlignment="1">
      <alignment horizontal="left"/>
    </xf>
    <xf numFmtId="6" fontId="8" fillId="0" borderId="25" xfId="2" applyNumberFormat="1" applyFont="1" applyBorder="1"/>
    <xf numFmtId="43" fontId="8" fillId="0" borderId="30" xfId="2" applyFont="1" applyFill="1" applyBorder="1"/>
    <xf numFmtId="43" fontId="8" fillId="0" borderId="25" xfId="2" applyFont="1" applyBorder="1"/>
    <xf numFmtId="43" fontId="8" fillId="0" borderId="25" xfId="2" applyFont="1" applyFill="1" applyBorder="1"/>
    <xf numFmtId="43" fontId="26" fillId="0" borderId="76" xfId="2" applyFont="1" applyBorder="1"/>
    <xf numFmtId="0" fontId="7" fillId="0" borderId="21" xfId="6" applyFont="1" applyBorder="1" applyAlignment="1">
      <alignment horizontal="left"/>
    </xf>
    <xf numFmtId="0" fontId="7" fillId="0" borderId="30" xfId="6" applyFont="1" applyBorder="1" applyAlignment="1">
      <alignment horizontal="center"/>
    </xf>
    <xf numFmtId="167" fontId="8" fillId="0" borderId="2" xfId="6" applyNumberFormat="1" applyBorder="1"/>
    <xf numFmtId="167" fontId="8" fillId="0" borderId="28" xfId="6" applyNumberFormat="1" applyBorder="1"/>
    <xf numFmtId="167" fontId="8" fillId="0" borderId="96" xfId="6" applyNumberFormat="1" applyBorder="1"/>
    <xf numFmtId="44" fontId="8" fillId="0" borderId="38" xfId="4" applyFont="1" applyFill="1" applyBorder="1" applyAlignment="1">
      <alignment wrapText="1"/>
    </xf>
    <xf numFmtId="44" fontId="8" fillId="0" borderId="64" xfId="4" applyFont="1" applyFill="1" applyBorder="1" applyAlignment="1">
      <alignment wrapText="1"/>
    </xf>
    <xf numFmtId="44" fontId="8" fillId="0" borderId="5" xfId="4" applyFont="1" applyFill="1" applyBorder="1" applyAlignment="1">
      <alignment wrapText="1"/>
    </xf>
    <xf numFmtId="0" fontId="26" fillId="0" borderId="47" xfId="6" applyFont="1" applyBorder="1" applyAlignment="1">
      <alignment wrapText="1"/>
    </xf>
    <xf numFmtId="0" fontId="26" fillId="0" borderId="38" xfId="6" applyFont="1" applyBorder="1" applyAlignment="1">
      <alignment wrapText="1"/>
    </xf>
    <xf numFmtId="43" fontId="26" fillId="0" borderId="1" xfId="2" applyFont="1" applyFill="1" applyBorder="1" applyAlignment="1">
      <alignment wrapText="1"/>
    </xf>
    <xf numFmtId="44" fontId="26" fillId="0" borderId="53" xfId="4" applyFont="1" applyBorder="1" applyAlignment="1">
      <alignment wrapText="1"/>
    </xf>
    <xf numFmtId="44" fontId="21" fillId="0" borderId="0" xfId="4" applyFont="1" applyFill="1" applyBorder="1" applyAlignment="1">
      <alignment wrapText="1"/>
    </xf>
    <xf numFmtId="0" fontId="8" fillId="0" borderId="52" xfId="6" applyBorder="1" applyAlignment="1">
      <alignment wrapText="1"/>
    </xf>
    <xf numFmtId="0" fontId="8" fillId="0" borderId="5" xfId="6" applyBorder="1" applyAlignment="1">
      <alignment wrapText="1"/>
    </xf>
    <xf numFmtId="0" fontId="8" fillId="0" borderId="2" xfId="6" applyBorder="1" applyAlignment="1">
      <alignment wrapText="1"/>
    </xf>
    <xf numFmtId="44" fontId="26" fillId="0" borderId="64" xfId="4" applyFont="1" applyFill="1" applyBorder="1" applyAlignment="1">
      <alignment wrapText="1"/>
    </xf>
    <xf numFmtId="44" fontId="26" fillId="0" borderId="0" xfId="4" applyFont="1" applyFill="1" applyBorder="1" applyAlignment="1">
      <alignment wrapText="1"/>
    </xf>
    <xf numFmtId="164" fontId="8" fillId="0" borderId="16" xfId="2" applyNumberFormat="1" applyFont="1" applyFill="1" applyBorder="1" applyAlignment="1">
      <alignment wrapText="1"/>
    </xf>
    <xf numFmtId="44" fontId="8" fillId="0" borderId="16" xfId="4" applyFont="1" applyFill="1" applyBorder="1" applyAlignment="1">
      <alignment wrapText="1"/>
    </xf>
    <xf numFmtId="44" fontId="8" fillId="0" borderId="64" xfId="4" applyFont="1" applyBorder="1" applyAlignment="1">
      <alignment wrapText="1"/>
    </xf>
    <xf numFmtId="44" fontId="8" fillId="0" borderId="4" xfId="4" applyFont="1" applyFill="1" applyBorder="1" applyAlignment="1">
      <alignment wrapText="1"/>
    </xf>
    <xf numFmtId="0" fontId="8" fillId="0" borderId="38" xfId="6" applyBorder="1" applyAlignment="1">
      <alignment wrapText="1"/>
    </xf>
    <xf numFmtId="44" fontId="8" fillId="0" borderId="53" xfId="4" applyFont="1" applyFill="1" applyBorder="1" applyAlignment="1">
      <alignment wrapText="1"/>
    </xf>
    <xf numFmtId="0" fontId="8" fillId="0" borderId="70" xfId="6" applyBorder="1" applyAlignment="1">
      <alignment wrapText="1"/>
    </xf>
    <xf numFmtId="8" fontId="8" fillId="0" borderId="65" xfId="4" applyNumberFormat="1" applyFont="1" applyFill="1" applyBorder="1" applyAlignment="1">
      <alignment wrapText="1"/>
    </xf>
    <xf numFmtId="44" fontId="8" fillId="0" borderId="25" xfId="4" applyFont="1" applyFill="1" applyBorder="1" applyAlignment="1">
      <alignment wrapText="1"/>
    </xf>
    <xf numFmtId="0" fontId="8" fillId="0" borderId="52" xfId="6" applyBorder="1" applyAlignment="1">
      <alignment horizontal="left" wrapText="1"/>
    </xf>
    <xf numFmtId="0" fontId="7" fillId="0" borderId="80" xfId="6" applyFont="1" applyBorder="1" applyAlignment="1">
      <alignment horizontal="center" wrapText="1"/>
    </xf>
    <xf numFmtId="0" fontId="7" fillId="0" borderId="81" xfId="6" applyFont="1" applyBorder="1" applyAlignment="1">
      <alignment horizontal="center" wrapText="1"/>
    </xf>
    <xf numFmtId="0" fontId="7" fillId="0" borderId="82" xfId="6" applyFont="1" applyBorder="1" applyAlignment="1">
      <alignment horizontal="center" wrapText="1"/>
    </xf>
    <xf numFmtId="0" fontId="7" fillId="0" borderId="83" xfId="6" applyFont="1" applyBorder="1" applyAlignment="1">
      <alignment horizontal="center" wrapText="1"/>
    </xf>
    <xf numFmtId="0" fontId="8" fillId="0" borderId="0" xfId="6" applyAlignment="1">
      <alignment wrapText="1"/>
    </xf>
    <xf numFmtId="0" fontId="8" fillId="0" borderId="47" xfId="6" applyBorder="1" applyAlignment="1">
      <alignment wrapText="1"/>
    </xf>
    <xf numFmtId="0" fontId="8" fillId="0" borderId="0" xfId="6" applyBorder="1" applyAlignment="1">
      <alignment wrapText="1"/>
    </xf>
    <xf numFmtId="43" fontId="8" fillId="0" borderId="0" xfId="2" applyFont="1" applyFill="1" applyBorder="1" applyAlignment="1">
      <alignment wrapText="1"/>
    </xf>
    <xf numFmtId="8" fontId="8" fillId="0" borderId="25" xfId="5" applyNumberFormat="1" applyFont="1" applyBorder="1" applyAlignment="1">
      <alignment wrapText="1"/>
    </xf>
    <xf numFmtId="0" fontId="8" fillId="0" borderId="54" xfId="6" applyBorder="1" applyAlignment="1">
      <alignment wrapText="1"/>
    </xf>
    <xf numFmtId="0" fontId="8" fillId="0" borderId="1" xfId="6" applyBorder="1" applyAlignment="1">
      <alignment wrapText="1"/>
    </xf>
    <xf numFmtId="167" fontId="8" fillId="0" borderId="1" xfId="2" applyNumberFormat="1" applyFont="1" applyFill="1" applyBorder="1" applyAlignment="1">
      <alignment wrapText="1"/>
    </xf>
    <xf numFmtId="167" fontId="8" fillId="0" borderId="1" xfId="4" applyNumberFormat="1" applyFont="1" applyFill="1" applyBorder="1" applyAlignment="1">
      <alignment wrapText="1"/>
    </xf>
    <xf numFmtId="44" fontId="0" fillId="0" borderId="1" xfId="4" applyFont="1" applyBorder="1" applyAlignment="1">
      <alignment wrapText="1"/>
    </xf>
    <xf numFmtId="8" fontId="25" fillId="0" borderId="25" xfId="5" applyNumberFormat="1" applyFont="1" applyBorder="1" applyAlignment="1">
      <alignment wrapText="1"/>
    </xf>
    <xf numFmtId="8" fontId="27" fillId="2" borderId="76" xfId="2" applyNumberFormat="1" applyFont="1" applyFill="1" applyBorder="1"/>
    <xf numFmtId="167" fontId="26" fillId="0" borderId="3" xfId="2" applyNumberFormat="1" applyFont="1" applyBorder="1"/>
    <xf numFmtId="44" fontId="7" fillId="0" borderId="129" xfId="4" applyFont="1" applyFill="1" applyBorder="1"/>
    <xf numFmtId="44" fontId="7" fillId="0" borderId="122" xfId="4" applyFont="1" applyFill="1" applyBorder="1"/>
    <xf numFmtId="44" fontId="7" fillId="0" borderId="133" xfId="4" applyFont="1" applyFill="1" applyBorder="1"/>
    <xf numFmtId="44" fontId="7" fillId="0" borderId="134" xfId="4" applyFont="1" applyFill="1" applyBorder="1"/>
    <xf numFmtId="44" fontId="7" fillId="0" borderId="135" xfId="4" applyFont="1" applyFill="1" applyBorder="1"/>
    <xf numFmtId="44" fontId="7" fillId="0" borderId="123" xfId="4" applyFont="1" applyFill="1" applyBorder="1"/>
    <xf numFmtId="44" fontId="0" fillId="0" borderId="58" xfId="4" applyFont="1" applyFill="1" applyBorder="1"/>
    <xf numFmtId="44" fontId="0" fillId="0" borderId="47" xfId="4" applyFont="1" applyFill="1" applyBorder="1"/>
    <xf numFmtId="44" fontId="7" fillId="0" borderId="47" xfId="4" applyFont="1" applyFill="1" applyBorder="1"/>
    <xf numFmtId="0" fontId="8" fillId="0" borderId="0" xfId="6" applyAlignment="1">
      <alignment horizontal="right"/>
    </xf>
    <xf numFmtId="0" fontId="7" fillId="0" borderId="0" xfId="6" applyFont="1" applyAlignment="1">
      <alignment horizontal="right"/>
    </xf>
    <xf numFmtId="44" fontId="7" fillId="0" borderId="0" xfId="6" applyNumberFormat="1" applyFont="1"/>
    <xf numFmtId="44" fontId="78" fillId="0" borderId="0" xfId="6" applyNumberFormat="1" applyFont="1"/>
    <xf numFmtId="44" fontId="8" fillId="0" borderId="0" xfId="4"/>
    <xf numFmtId="0" fontId="35" fillId="0" borderId="1" xfId="7" applyFont="1" applyBorder="1" applyAlignment="1">
      <alignment horizontal="right"/>
    </xf>
    <xf numFmtId="44" fontId="8" fillId="0" borderId="120" xfId="4" applyFont="1" applyFill="1" applyBorder="1"/>
    <xf numFmtId="44" fontId="8" fillId="0" borderId="52" xfId="4" applyFont="1" applyFill="1" applyBorder="1"/>
    <xf numFmtId="44" fontId="8" fillId="0" borderId="3" xfId="2" applyNumberFormat="1" applyFont="1" applyFill="1" applyBorder="1"/>
    <xf numFmtId="164" fontId="8" fillId="0" borderId="3" xfId="2" applyNumberFormat="1" applyFont="1" applyFill="1" applyBorder="1" applyAlignment="1">
      <alignment horizontal="right" wrapText="1"/>
    </xf>
    <xf numFmtId="0" fontId="53" fillId="0" borderId="1" xfId="7" applyFont="1" applyBorder="1"/>
    <xf numFmtId="44" fontId="0" fillId="0" borderId="3" xfId="2" applyNumberFormat="1" applyFont="1" applyFill="1" applyBorder="1"/>
    <xf numFmtId="16" fontId="8" fillId="0" borderId="3" xfId="7" applyNumberFormat="1" applyBorder="1" applyAlignment="1">
      <alignment horizontal="right" wrapText="1"/>
    </xf>
    <xf numFmtId="43" fontId="7" fillId="0" borderId="0" xfId="6" applyNumberFormat="1" applyFont="1" applyAlignment="1">
      <alignment horizontal="center"/>
    </xf>
    <xf numFmtId="164" fontId="7" fillId="0" borderId="0" xfId="7" applyNumberFormat="1" applyFont="1" applyAlignment="1">
      <alignment horizontal="center"/>
    </xf>
    <xf numFmtId="43" fontId="7" fillId="0" borderId="0" xfId="7" applyNumberFormat="1" applyFont="1" applyAlignment="1">
      <alignment horizontal="center"/>
    </xf>
    <xf numFmtId="16" fontId="8" fillId="4" borderId="1" xfId="7" applyNumberFormat="1" applyFont="1" applyFill="1" applyBorder="1" applyAlignment="1">
      <alignment horizontal="right"/>
    </xf>
    <xf numFmtId="16" fontId="7" fillId="4" borderId="1" xfId="7" applyNumberFormat="1" applyFont="1" applyFill="1" applyBorder="1" applyAlignment="1">
      <alignment horizontal="right"/>
    </xf>
    <xf numFmtId="1" fontId="0" fillId="4" borderId="115" xfId="2" applyNumberFormat="1" applyFont="1" applyFill="1" applyBorder="1"/>
    <xf numFmtId="44" fontId="0" fillId="4" borderId="115" xfId="2" applyNumberFormat="1" applyFont="1" applyFill="1" applyBorder="1"/>
    <xf numFmtId="44" fontId="8" fillId="4" borderId="115" xfId="2" applyNumberFormat="1" applyFont="1" applyFill="1" applyBorder="1"/>
    <xf numFmtId="44" fontId="8" fillId="4" borderId="58" xfId="2" applyNumberFormat="1" applyFont="1" applyFill="1" applyBorder="1"/>
    <xf numFmtId="164" fontId="0" fillId="4" borderId="1" xfId="2" applyNumberFormat="1" applyFont="1" applyFill="1" applyBorder="1"/>
    <xf numFmtId="164" fontId="8" fillId="4" borderId="155" xfId="2" applyNumberFormat="1" applyFont="1" applyFill="1" applyBorder="1"/>
    <xf numFmtId="44" fontId="8" fillId="4" borderId="47" xfId="2" applyNumberFormat="1" applyFont="1" applyFill="1" applyBorder="1"/>
    <xf numFmtId="44" fontId="8" fillId="4" borderId="24" xfId="4" applyFont="1" applyFill="1" applyBorder="1"/>
    <xf numFmtId="16" fontId="8" fillId="4" borderId="1" xfId="7" applyNumberFormat="1" applyFill="1" applyBorder="1" applyAlignment="1">
      <alignment horizontal="right"/>
    </xf>
    <xf numFmtId="6" fontId="1" fillId="4" borderId="1" xfId="5" applyNumberFormat="1" applyFont="1" applyFill="1" applyBorder="1"/>
    <xf numFmtId="6" fontId="1" fillId="4" borderId="115" xfId="5" applyNumberFormat="1" applyFont="1" applyFill="1" applyBorder="1"/>
    <xf numFmtId="164" fontId="0" fillId="4" borderId="115" xfId="2" applyNumberFormat="1" applyFont="1" applyFill="1" applyBorder="1"/>
    <xf numFmtId="164" fontId="0" fillId="4" borderId="58" xfId="2" applyNumberFormat="1" applyFont="1" applyFill="1" applyBorder="1"/>
    <xf numFmtId="164" fontId="0" fillId="4" borderId="2" xfId="2" applyNumberFormat="1" applyFont="1" applyFill="1" applyBorder="1"/>
    <xf numFmtId="44" fontId="0" fillId="4" borderId="1" xfId="4" applyFont="1" applyFill="1" applyBorder="1"/>
    <xf numFmtId="44" fontId="0" fillId="4" borderId="120" xfId="13" applyFont="1" applyFill="1" applyBorder="1"/>
    <xf numFmtId="164" fontId="0" fillId="4" borderId="47" xfId="2" applyNumberFormat="1" applyFont="1" applyFill="1" applyBorder="1"/>
    <xf numFmtId="0" fontId="8" fillId="4" borderId="0" xfId="6" applyFill="1"/>
    <xf numFmtId="164" fontId="8" fillId="4" borderId="1" xfId="2" applyNumberFormat="1" applyFill="1" applyBorder="1" applyAlignment="1">
      <alignment horizontal="right"/>
    </xf>
    <xf numFmtId="6" fontId="0" fillId="4" borderId="115" xfId="2" applyNumberFormat="1" applyFont="1" applyFill="1" applyBorder="1"/>
    <xf numFmtId="44" fontId="8" fillId="4" borderId="2" xfId="2" applyNumberFormat="1" applyFont="1" applyFill="1" applyBorder="1"/>
    <xf numFmtId="44" fontId="0" fillId="4" borderId="1" xfId="2" applyNumberFormat="1" applyFont="1" applyFill="1" applyBorder="1"/>
    <xf numFmtId="44" fontId="8" fillId="4" borderId="1" xfId="2" applyNumberFormat="1" applyFont="1" applyFill="1" applyBorder="1"/>
    <xf numFmtId="44" fontId="0" fillId="4" borderId="47" xfId="2" applyNumberFormat="1" applyFont="1" applyFill="1" applyBorder="1"/>
    <xf numFmtId="6" fontId="0" fillId="4" borderId="1" xfId="2" applyNumberFormat="1" applyFont="1" applyFill="1" applyBorder="1"/>
    <xf numFmtId="44" fontId="0" fillId="0" borderId="15" xfId="4" applyFont="1" applyFill="1" applyBorder="1"/>
    <xf numFmtId="44" fontId="0" fillId="0" borderId="125" xfId="4" applyFont="1" applyFill="1" applyBorder="1"/>
    <xf numFmtId="44" fontId="8" fillId="0" borderId="52" xfId="2" applyNumberFormat="1" applyFont="1" applyFill="1" applyBorder="1"/>
    <xf numFmtId="44" fontId="29" fillId="0" borderId="66" xfId="4" applyFont="1" applyFill="1" applyBorder="1"/>
    <xf numFmtId="0" fontId="8" fillId="4" borderId="47" xfId="6" applyFill="1" applyBorder="1"/>
    <xf numFmtId="0" fontId="8" fillId="4" borderId="38" xfId="6" applyFill="1" applyBorder="1"/>
    <xf numFmtId="0" fontId="8" fillId="4" borderId="2" xfId="6" applyFill="1" applyBorder="1"/>
    <xf numFmtId="6" fontId="8" fillId="4" borderId="1" xfId="2" applyNumberFormat="1" applyFont="1" applyFill="1" applyBorder="1"/>
    <xf numFmtId="6" fontId="8" fillId="4" borderId="25" xfId="2" applyNumberFormat="1" applyFont="1" applyFill="1" applyBorder="1"/>
    <xf numFmtId="8" fontId="8" fillId="4" borderId="25" xfId="5" applyNumberFormat="1" applyFont="1" applyFill="1" applyBorder="1"/>
    <xf numFmtId="0" fontId="13" fillId="4" borderId="3" xfId="6" applyFont="1" applyFill="1" applyBorder="1" applyAlignment="1">
      <alignment horizontal="center" vertical="top" wrapText="1"/>
    </xf>
    <xf numFmtId="0" fontId="13" fillId="4" borderId="5" xfId="6" applyFont="1" applyFill="1" applyBorder="1" applyAlignment="1">
      <alignment horizontal="center" vertical="top" wrapText="1"/>
    </xf>
    <xf numFmtId="0" fontId="13" fillId="4" borderId="58" xfId="6" applyFont="1" applyFill="1" applyBorder="1" applyAlignment="1">
      <alignment horizontal="center" vertical="top" wrapText="1"/>
    </xf>
    <xf numFmtId="3" fontId="53" fillId="4" borderId="1" xfId="1" applyNumberFormat="1" applyFont="1" applyFill="1" applyBorder="1"/>
    <xf numFmtId="3" fontId="76" fillId="5" borderId="1" xfId="6" applyNumberFormat="1" applyFont="1" applyFill="1" applyBorder="1"/>
    <xf numFmtId="0" fontId="8" fillId="5" borderId="2" xfId="0" applyFont="1" applyFill="1" applyBorder="1"/>
    <xf numFmtId="164" fontId="8" fillId="5" borderId="61" xfId="0" applyNumberFormat="1" applyFont="1" applyFill="1" applyBorder="1"/>
    <xf numFmtId="164" fontId="8" fillId="5" borderId="24" xfId="0" applyNumberFormat="1" applyFont="1" applyFill="1" applyBorder="1"/>
    <xf numFmtId="164" fontId="8" fillId="5" borderId="18" xfId="0" applyNumberFormat="1" applyFont="1" applyFill="1" applyBorder="1"/>
    <xf numFmtId="164" fontId="8" fillId="5" borderId="28" xfId="0" applyNumberFormat="1" applyFont="1" applyFill="1" applyBorder="1"/>
    <xf numFmtId="164" fontId="8" fillId="5" borderId="25" xfId="0" applyNumberFormat="1" applyFont="1" applyFill="1" applyBorder="1"/>
    <xf numFmtId="164" fontId="8" fillId="5" borderId="16" xfId="0" applyNumberFormat="1" applyFont="1" applyFill="1" applyBorder="1"/>
    <xf numFmtId="164" fontId="8" fillId="5" borderId="71" xfId="0" applyNumberFormat="1" applyFont="1" applyFill="1" applyBorder="1"/>
    <xf numFmtId="164" fontId="7" fillId="5" borderId="142" xfId="0" applyNumberFormat="1" applyFont="1" applyFill="1" applyBorder="1"/>
    <xf numFmtId="164" fontId="8" fillId="5" borderId="12" xfId="0" applyNumberFormat="1" applyFont="1" applyFill="1" applyBorder="1"/>
    <xf numFmtId="164" fontId="8" fillId="13" borderId="38" xfId="0" applyNumberFormat="1" applyFont="1" applyFill="1" applyBorder="1"/>
    <xf numFmtId="164" fontId="8" fillId="13" borderId="64" xfId="0" applyNumberFormat="1" applyFont="1" applyFill="1" applyBorder="1"/>
    <xf numFmtId="3" fontId="0" fillId="0" borderId="1" xfId="0" applyNumberFormat="1" applyFill="1" applyBorder="1"/>
    <xf numFmtId="3" fontId="75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6" borderId="3" xfId="0" applyNumberFormat="1" applyFont="1" applyFill="1" applyBorder="1"/>
    <xf numFmtId="3" fontId="8" fillId="6" borderId="3" xfId="0" applyNumberFormat="1" applyFont="1" applyFill="1" applyBorder="1"/>
    <xf numFmtId="164" fontId="8" fillId="5" borderId="142" xfId="0" applyNumberFormat="1" applyFont="1" applyFill="1" applyBorder="1"/>
    <xf numFmtId="3" fontId="8" fillId="13" borderId="3" xfId="0" applyNumberFormat="1" applyFont="1" applyFill="1" applyBorder="1"/>
    <xf numFmtId="164" fontId="7" fillId="13" borderId="72" xfId="0" applyNumberFormat="1" applyFont="1" applyFill="1" applyBorder="1"/>
    <xf numFmtId="164" fontId="7" fillId="13" borderId="157" xfId="0" applyNumberFormat="1" applyFont="1" applyFill="1" applyBorder="1"/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37" fontId="7" fillId="0" borderId="0" xfId="6" applyNumberFormat="1" applyFont="1" applyAlignment="1">
      <alignment horizontal="center"/>
    </xf>
    <xf numFmtId="37" fontId="7" fillId="4" borderId="4" xfId="6" applyNumberFormat="1" applyFont="1" applyFill="1" applyBorder="1" applyAlignment="1">
      <alignment horizontal="center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19" fillId="0" borderId="3" xfId="6" applyFont="1" applyBorder="1" applyAlignment="1">
      <alignment horizontal="center" vertical="top"/>
    </xf>
    <xf numFmtId="0" fontId="19" fillId="0" borderId="5" xfId="6" applyFont="1" applyBorder="1" applyAlignment="1">
      <alignment horizontal="center" vertical="top"/>
    </xf>
    <xf numFmtId="0" fontId="19" fillId="0" borderId="58" xfId="6" applyFont="1" applyBorder="1" applyAlignment="1">
      <alignment horizontal="center" vertical="top"/>
    </xf>
    <xf numFmtId="0" fontId="7" fillId="3" borderId="41" xfId="6" applyFont="1" applyFill="1" applyBorder="1" applyAlignment="1">
      <alignment horizontal="left"/>
    </xf>
    <xf numFmtId="0" fontId="7" fillId="3" borderId="42" xfId="6" applyFont="1" applyFill="1" applyBorder="1" applyAlignment="1">
      <alignment horizontal="left"/>
    </xf>
    <xf numFmtId="0" fontId="7" fillId="3" borderId="50" xfId="6" applyFont="1" applyFill="1" applyBorder="1" applyAlignment="1">
      <alignment horizontal="left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154" xfId="6" applyFont="1" applyBorder="1" applyAlignment="1">
      <alignment horizontal="left"/>
    </xf>
    <xf numFmtId="0" fontId="42" fillId="0" borderId="86" xfId="6" applyFont="1" applyBorder="1" applyAlignment="1">
      <alignment horizontal="left"/>
    </xf>
    <xf numFmtId="0" fontId="42" fillId="0" borderId="94" xfId="6" applyFont="1" applyBorder="1" applyAlignment="1">
      <alignment horizontal="left"/>
    </xf>
    <xf numFmtId="0" fontId="7" fillId="3" borderId="90" xfId="6" applyFont="1" applyFill="1" applyBorder="1" applyAlignment="1">
      <alignment horizontal="left"/>
    </xf>
    <xf numFmtId="0" fontId="7" fillId="3" borderId="73" xfId="6" applyFont="1" applyFill="1" applyBorder="1" applyAlignment="1">
      <alignment horizontal="left"/>
    </xf>
    <xf numFmtId="0" fontId="7" fillId="3" borderId="91" xfId="6" applyFont="1" applyFill="1" applyBorder="1" applyAlignment="1">
      <alignment horizontal="left"/>
    </xf>
    <xf numFmtId="0" fontId="19" fillId="2" borderId="3" xfId="6" applyFont="1" applyFill="1" applyBorder="1" applyAlignment="1">
      <alignment horizontal="center" vertical="top"/>
    </xf>
    <xf numFmtId="0" fontId="19" fillId="2" borderId="5" xfId="6" applyFont="1" applyFill="1" applyBorder="1" applyAlignment="1">
      <alignment horizontal="center" vertical="top"/>
    </xf>
    <xf numFmtId="0" fontId="19" fillId="2" borderId="58" xfId="6" applyFont="1" applyFill="1" applyBorder="1" applyAlignment="1">
      <alignment horizontal="center" vertical="top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58" xfId="6" applyFont="1" applyBorder="1" applyAlignment="1">
      <alignment horizontal="left" vertical="top"/>
    </xf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0" fontId="8" fillId="0" borderId="2" xfId="6" applyBorder="1" applyAlignment="1">
      <alignment horizontal="left"/>
    </xf>
    <xf numFmtId="0" fontId="13" fillId="0" borderId="93" xfId="6" applyFont="1" applyBorder="1" applyAlignment="1">
      <alignment horizontal="center" vertical="top"/>
    </xf>
    <xf numFmtId="0" fontId="13" fillId="0" borderId="42" xfId="6" applyFont="1" applyBorder="1" applyAlignment="1">
      <alignment horizontal="center" vertical="top"/>
    </xf>
    <xf numFmtId="0" fontId="13" fillId="0" borderId="75" xfId="6" applyFont="1" applyBorder="1" applyAlignment="1">
      <alignment horizontal="center" vertical="top"/>
    </xf>
    <xf numFmtId="43" fontId="13" fillId="0" borderId="142" xfId="6" applyNumberFormat="1" applyFont="1" applyBorder="1" applyAlignment="1">
      <alignment horizontal="center" vertical="top"/>
    </xf>
    <xf numFmtId="43" fontId="13" fillId="0" borderId="79" xfId="6" applyNumberFormat="1" applyFont="1" applyBorder="1" applyAlignment="1">
      <alignment horizontal="center" vertical="top"/>
    </xf>
    <xf numFmtId="43" fontId="13" fillId="0" borderId="143" xfId="6" applyNumberFormat="1" applyFont="1" applyBorder="1" applyAlignment="1">
      <alignment horizontal="center" vertical="top"/>
    </xf>
    <xf numFmtId="0" fontId="13" fillId="2" borderId="3" xfId="6" applyFont="1" applyFill="1" applyBorder="1" applyAlignment="1">
      <alignment horizontal="center" vertical="top"/>
    </xf>
    <xf numFmtId="0" fontId="13" fillId="2" borderId="5" xfId="6" applyFont="1" applyFill="1" applyBorder="1" applyAlignment="1">
      <alignment horizontal="center" vertical="top"/>
    </xf>
    <xf numFmtId="0" fontId="13" fillId="2" borderId="58" xfId="6" applyFont="1" applyFill="1" applyBorder="1" applyAlignment="1">
      <alignment horizontal="center" vertical="top"/>
    </xf>
    <xf numFmtId="9" fontId="8" fillId="0" borderId="3" xfId="6" applyNumberFormat="1" applyBorder="1" applyAlignment="1">
      <alignment horizontal="center" vertical="top"/>
    </xf>
    <xf numFmtId="0" fontId="13" fillId="0" borderId="144" xfId="6" applyFont="1" applyBorder="1" applyAlignment="1">
      <alignment horizontal="center" vertical="top"/>
    </xf>
    <xf numFmtId="0" fontId="13" fillId="0" borderId="73" xfId="6" applyFont="1" applyBorder="1" applyAlignment="1">
      <alignment horizontal="center" vertical="top"/>
    </xf>
    <xf numFmtId="0" fontId="13" fillId="0" borderId="145" xfId="6" applyFont="1" applyBorder="1" applyAlignment="1">
      <alignment horizontal="center" vertical="top"/>
    </xf>
    <xf numFmtId="0" fontId="7" fillId="0" borderId="52" xfId="6" applyFont="1" applyBorder="1" applyAlignment="1">
      <alignment horizontal="left"/>
    </xf>
    <xf numFmtId="0" fontId="7" fillId="0" borderId="5" xfId="6" applyFont="1" applyBorder="1" applyAlignment="1">
      <alignment horizontal="left"/>
    </xf>
    <xf numFmtId="43" fontId="8" fillId="0" borderId="142" xfId="6" applyNumberFormat="1" applyBorder="1" applyAlignment="1">
      <alignment horizontal="center" vertical="top"/>
    </xf>
    <xf numFmtId="43" fontId="8" fillId="0" borderId="79" xfId="6" applyNumberFormat="1" applyBorder="1" applyAlignment="1">
      <alignment horizontal="center" vertical="top"/>
    </xf>
    <xf numFmtId="43" fontId="8" fillId="0" borderId="143" xfId="6" applyNumberFormat="1" applyBorder="1" applyAlignment="1">
      <alignment horizontal="center" vertical="top"/>
    </xf>
    <xf numFmtId="43" fontId="8" fillId="0" borderId="3" xfId="6" applyNumberFormat="1" applyBorder="1" applyAlignment="1">
      <alignment horizontal="center" vertical="top"/>
    </xf>
    <xf numFmtId="43" fontId="8" fillId="0" borderId="5" xfId="6" applyNumberFormat="1" applyBorder="1" applyAlignment="1">
      <alignment horizontal="center" vertical="top"/>
    </xf>
    <xf numFmtId="43" fontId="8" fillId="0" borderId="58" xfId="6" applyNumberFormat="1" applyBorder="1" applyAlignment="1">
      <alignment horizontal="center" vertical="top"/>
    </xf>
    <xf numFmtId="0" fontId="8" fillId="0" borderId="154" xfId="6" applyBorder="1" applyAlignment="1">
      <alignment horizontal="left"/>
    </xf>
    <xf numFmtId="0" fontId="8" fillId="0" borderId="86" xfId="6" applyBorder="1" applyAlignment="1">
      <alignment horizontal="left"/>
    </xf>
    <xf numFmtId="0" fontId="8" fillId="0" borderId="94" xfId="6" applyBorder="1" applyAlignment="1">
      <alignment horizontal="left"/>
    </xf>
    <xf numFmtId="0" fontId="8" fillId="0" borderId="52" xfId="6" applyBorder="1"/>
    <xf numFmtId="0" fontId="8" fillId="0" borderId="5" xfId="6" applyBorder="1"/>
    <xf numFmtId="0" fontId="8" fillId="0" borderId="52" xfId="6" applyBorder="1" applyAlignment="1">
      <alignment horizontal="left" wrapText="1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0" fontId="13" fillId="0" borderId="3" xfId="6" applyFont="1" applyBorder="1" applyAlignment="1">
      <alignment horizontal="left" vertical="top" wrapText="1"/>
    </xf>
    <xf numFmtId="0" fontId="13" fillId="0" borderId="5" xfId="6" applyFont="1" applyBorder="1" applyAlignment="1">
      <alignment horizontal="left" vertical="top" wrapText="1"/>
    </xf>
    <xf numFmtId="0" fontId="13" fillId="0" borderId="58" xfId="6" applyFont="1" applyBorder="1" applyAlignment="1">
      <alignment horizontal="left" vertical="top" wrapText="1"/>
    </xf>
    <xf numFmtId="0" fontId="13" fillId="0" borderId="3" xfId="6" applyFont="1" applyBorder="1" applyAlignment="1">
      <alignment horizontal="center" vertical="top" wrapText="1"/>
    </xf>
    <xf numFmtId="0" fontId="13" fillId="0" borderId="5" xfId="6" applyFont="1" applyBorder="1" applyAlignment="1">
      <alignment horizontal="center" vertical="top" wrapText="1"/>
    </xf>
    <xf numFmtId="0" fontId="13" fillId="0" borderId="58" xfId="6" applyFont="1" applyBorder="1" applyAlignment="1">
      <alignment horizontal="center" vertical="top" wrapText="1"/>
    </xf>
    <xf numFmtId="0" fontId="13" fillId="0" borderId="142" xfId="6" applyFont="1" applyBorder="1" applyAlignment="1">
      <alignment horizontal="center" vertical="top" wrapText="1"/>
    </xf>
    <xf numFmtId="0" fontId="13" fillId="0" borderId="79" xfId="6" applyFont="1" applyBorder="1" applyAlignment="1">
      <alignment horizontal="center" vertical="top" wrapText="1"/>
    </xf>
    <xf numFmtId="0" fontId="13" fillId="0" borderId="143" xfId="6" applyFont="1" applyBorder="1" applyAlignment="1">
      <alignment horizontal="center" vertical="top" wrapText="1"/>
    </xf>
    <xf numFmtId="0" fontId="7" fillId="0" borderId="101" xfId="6" applyFont="1" applyBorder="1" applyAlignment="1">
      <alignment horizontal="left"/>
    </xf>
    <xf numFmtId="0" fontId="7" fillId="0" borderId="102" xfId="6" applyFont="1" applyBorder="1" applyAlignment="1">
      <alignment horizontal="left"/>
    </xf>
    <xf numFmtId="0" fontId="7" fillId="0" borderId="103" xfId="6" applyFont="1" applyBorder="1" applyAlignment="1">
      <alignment horizontal="left"/>
    </xf>
    <xf numFmtId="0" fontId="13" fillId="2" borderId="144" xfId="6" applyFont="1" applyFill="1" applyBorder="1" applyAlignment="1">
      <alignment horizontal="center" vertical="top"/>
    </xf>
    <xf numFmtId="0" fontId="13" fillId="2" borderId="73" xfId="6" applyFont="1" applyFill="1" applyBorder="1" applyAlignment="1">
      <alignment horizontal="center" vertical="top"/>
    </xf>
    <xf numFmtId="0" fontId="13" fillId="2" borderId="145" xfId="6" applyFont="1" applyFill="1" applyBorder="1" applyAlignment="1">
      <alignment horizontal="center" vertical="top"/>
    </xf>
    <xf numFmtId="0" fontId="19" fillId="0" borderId="25" xfId="6" applyFont="1" applyBorder="1" applyAlignment="1">
      <alignment horizontal="center" vertical="top"/>
    </xf>
    <xf numFmtId="0" fontId="19" fillId="0" borderId="4" xfId="6" applyFont="1" applyBorder="1" applyAlignment="1">
      <alignment horizontal="center" vertical="top"/>
    </xf>
    <xf numFmtId="0" fontId="19" fillId="0" borderId="55" xfId="6" applyFont="1" applyBorder="1" applyAlignment="1">
      <alignment horizontal="center" vertical="top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13" fillId="0" borderId="142" xfId="6" applyFont="1" applyBorder="1" applyAlignment="1">
      <alignment horizontal="center" vertical="top"/>
    </xf>
    <xf numFmtId="0" fontId="13" fillId="0" borderId="79" xfId="6" applyFont="1" applyBorder="1" applyAlignment="1">
      <alignment horizontal="center" vertical="top"/>
    </xf>
    <xf numFmtId="0" fontId="13" fillId="0" borderId="143" xfId="6" applyFont="1" applyBorder="1" applyAlignment="1">
      <alignment horizontal="center" vertical="top"/>
    </xf>
    <xf numFmtId="0" fontId="7" fillId="0" borderId="41" xfId="6" applyFont="1" applyBorder="1" applyAlignment="1">
      <alignment horizontal="center" wrapText="1"/>
    </xf>
    <xf numFmtId="0" fontId="7" fillId="0" borderId="75" xfId="6" applyFont="1" applyBorder="1" applyAlignment="1">
      <alignment horizontal="center" wrapText="1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0" borderId="75" xfId="6" applyFont="1" applyBorder="1" applyAlignment="1">
      <alignment horizontal="center"/>
    </xf>
    <xf numFmtId="17" fontId="7" fillId="0" borderId="41" xfId="6" applyNumberFormat="1" applyFont="1" applyBorder="1" applyAlignment="1">
      <alignment horizontal="center"/>
    </xf>
    <xf numFmtId="17" fontId="7" fillId="0" borderId="75" xfId="6" applyNumberFormat="1" applyFont="1" applyBorder="1" applyAlignment="1">
      <alignment horizontal="center"/>
    </xf>
    <xf numFmtId="0" fontId="27" fillId="0" borderId="41" xfId="6" applyFont="1" applyBorder="1" applyAlignment="1">
      <alignment horizontal="center"/>
    </xf>
    <xf numFmtId="0" fontId="27" fillId="0" borderId="42" xfId="6" applyFont="1" applyBorder="1" applyAlignment="1">
      <alignment horizontal="center"/>
    </xf>
    <xf numFmtId="0" fontId="27" fillId="0" borderId="75" xfId="6" applyFont="1" applyBorder="1" applyAlignment="1">
      <alignment horizontal="center"/>
    </xf>
    <xf numFmtId="0" fontId="7" fillId="14" borderId="35" xfId="6" applyFont="1" applyFill="1" applyBorder="1" applyAlignment="1">
      <alignment horizontal="center" wrapText="1"/>
    </xf>
    <xf numFmtId="0" fontId="7" fillId="14" borderId="57" xfId="6" applyFont="1" applyFill="1" applyBorder="1" applyAlignment="1">
      <alignment horizontal="center" wrapText="1"/>
    </xf>
    <xf numFmtId="0" fontId="7" fillId="14" borderId="41" xfId="6" applyFont="1" applyFill="1" applyBorder="1" applyAlignment="1">
      <alignment horizontal="center"/>
    </xf>
    <xf numFmtId="0" fontId="7" fillId="14" borderId="75" xfId="6" applyFont="1" applyFill="1" applyBorder="1" applyAlignment="1">
      <alignment horizontal="center"/>
    </xf>
    <xf numFmtId="0" fontId="7" fillId="14" borderId="42" xfId="6" applyFont="1" applyFill="1" applyBorder="1" applyAlignment="1">
      <alignment horizontal="center"/>
    </xf>
    <xf numFmtId="0" fontId="7" fillId="14" borderId="17" xfId="6" applyFont="1" applyFill="1" applyBorder="1" applyAlignment="1">
      <alignment horizontal="center"/>
    </xf>
    <xf numFmtId="0" fontId="7" fillId="14" borderId="19" xfId="6" applyFont="1" applyFill="1" applyBorder="1" applyAlignment="1">
      <alignment horizontal="center"/>
    </xf>
    <xf numFmtId="0" fontId="7" fillId="14" borderId="20" xfId="6" applyFont="1" applyFill="1" applyBorder="1" applyAlignment="1">
      <alignment horizontal="center"/>
    </xf>
    <xf numFmtId="0" fontId="7" fillId="14" borderId="39" xfId="6" applyFont="1" applyFill="1" applyBorder="1" applyAlignment="1">
      <alignment horizontal="center"/>
    </xf>
    <xf numFmtId="0" fontId="7" fillId="14" borderId="40" xfId="6" applyFont="1" applyFill="1" applyBorder="1" applyAlignment="1">
      <alignment horizontal="center"/>
    </xf>
    <xf numFmtId="0" fontId="7" fillId="14" borderId="74" xfId="6" applyFont="1" applyFill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4" borderId="71" xfId="6" applyFill="1" applyBorder="1" applyAlignment="1">
      <alignment horizontal="left" vertical="top" wrapText="1"/>
    </xf>
    <xf numFmtId="0" fontId="8" fillId="4" borderId="11" xfId="6" applyFill="1" applyBorder="1" applyAlignment="1">
      <alignment horizontal="left" vertical="top" wrapText="1"/>
    </xf>
    <xf numFmtId="0" fontId="8" fillId="4" borderId="12" xfId="6" applyFill="1" applyBorder="1" applyAlignment="1">
      <alignment horizontal="left" vertical="top" wrapText="1"/>
    </xf>
    <xf numFmtId="0" fontId="8" fillId="4" borderId="72" xfId="6" applyFill="1" applyBorder="1" applyAlignment="1">
      <alignment horizontal="left" vertical="top" wrapText="1"/>
    </xf>
    <xf numFmtId="0" fontId="8" fillId="4" borderId="13" xfId="6" applyFill="1" applyBorder="1" applyAlignment="1">
      <alignment horizontal="left" vertical="top" wrapText="1"/>
    </xf>
    <xf numFmtId="0" fontId="8" fillId="4" borderId="14" xfId="6" applyFill="1" applyBorder="1" applyAlignment="1">
      <alignment horizontal="left" vertical="top" wrapText="1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37" xfId="6" applyBorder="1" applyAlignment="1">
      <alignment horizontal="left"/>
    </xf>
    <xf numFmtId="0" fontId="8" fillId="0" borderId="15" xfId="6" applyBorder="1" applyAlignment="1">
      <alignment horizontal="left"/>
    </xf>
    <xf numFmtId="0" fontId="24" fillId="2" borderId="17" xfId="6" applyFont="1" applyFill="1" applyBorder="1" applyAlignment="1">
      <alignment horizontal="left"/>
    </xf>
    <xf numFmtId="0" fontId="24" fillId="2" borderId="19" xfId="6" applyFont="1" applyFill="1" applyBorder="1" applyAlignment="1">
      <alignment horizontal="left"/>
    </xf>
    <xf numFmtId="0" fontId="24" fillId="0" borderId="89" xfId="6" applyFont="1" applyBorder="1" applyAlignment="1">
      <alignment horizontal="left"/>
    </xf>
    <xf numFmtId="0" fontId="24" fillId="0" borderId="29" xfId="6" applyFont="1" applyBorder="1" applyAlignment="1">
      <alignment horizontal="left"/>
    </xf>
    <xf numFmtId="0" fontId="7" fillId="7" borderId="52" xfId="6" applyFont="1" applyFill="1" applyBorder="1" applyAlignment="1">
      <alignment horizontal="right"/>
    </xf>
    <xf numFmtId="0" fontId="7" fillId="7" borderId="5" xfId="6" applyFont="1" applyFill="1" applyBorder="1" applyAlignment="1">
      <alignment horizontal="right"/>
    </xf>
    <xf numFmtId="0" fontId="7" fillId="7" borderId="2" xfId="6" applyFont="1" applyFill="1" applyBorder="1" applyAlignment="1">
      <alignment horizontal="right"/>
    </xf>
    <xf numFmtId="0" fontId="7" fillId="0" borderId="2" xfId="6" applyFont="1" applyBorder="1" applyAlignment="1">
      <alignment horizontal="left"/>
    </xf>
    <xf numFmtId="0" fontId="8" fillId="0" borderId="56" xfId="6" applyBorder="1" applyAlignment="1">
      <alignment horizontal="left"/>
    </xf>
    <xf numFmtId="0" fontId="8" fillId="0" borderId="16" xfId="6" applyBorder="1" applyAlignment="1">
      <alignment horizontal="left"/>
    </xf>
    <xf numFmtId="0" fontId="80" fillId="0" borderId="56" xfId="6" applyFont="1" applyBorder="1" applyAlignment="1">
      <alignment horizontal="left"/>
    </xf>
    <xf numFmtId="0" fontId="80" fillId="0" borderId="16" xfId="6" applyFont="1" applyBorder="1" applyAlignment="1">
      <alignment horizontal="left"/>
    </xf>
    <xf numFmtId="0" fontId="8" fillId="0" borderId="1" xfId="6" applyBorder="1" applyAlignment="1">
      <alignment horizontal="left"/>
    </xf>
    <xf numFmtId="0" fontId="8" fillId="4" borderId="24" xfId="6" applyFill="1" applyBorder="1" applyAlignment="1">
      <alignment horizontal="center" wrapText="1"/>
    </xf>
    <xf numFmtId="0" fontId="8" fillId="4" borderId="109" xfId="6" applyFill="1" applyBorder="1" applyAlignment="1">
      <alignment horizontal="center" wrapText="1"/>
    </xf>
    <xf numFmtId="0" fontId="8" fillId="4" borderId="60" xfId="6" applyFill="1" applyBorder="1" applyAlignment="1">
      <alignment horizontal="center" wrapText="1"/>
    </xf>
    <xf numFmtId="0" fontId="8" fillId="4" borderId="25" xfId="6" applyFill="1" applyBorder="1" applyAlignment="1">
      <alignment horizontal="center" wrapText="1"/>
    </xf>
    <xf numFmtId="0" fontId="8" fillId="4" borderId="112" xfId="6" applyFill="1" applyBorder="1" applyAlignment="1">
      <alignment horizontal="center" wrapText="1"/>
    </xf>
    <xf numFmtId="0" fontId="8" fillId="4" borderId="114" xfId="6" applyFill="1" applyBorder="1" applyAlignment="1">
      <alignment horizontal="center" wrapText="1"/>
    </xf>
    <xf numFmtId="0" fontId="8" fillId="0" borderId="26" xfId="6" applyBorder="1" applyAlignment="1">
      <alignment horizontal="left"/>
    </xf>
    <xf numFmtId="0" fontId="7" fillId="2" borderId="17" xfId="6" applyFont="1" applyFill="1" applyBorder="1" applyAlignment="1">
      <alignment horizontal="left"/>
    </xf>
    <xf numFmtId="0" fontId="7" fillId="2" borderId="19" xfId="6" applyFont="1" applyFill="1" applyBorder="1" applyAlignment="1">
      <alignment horizontal="left"/>
    </xf>
    <xf numFmtId="0" fontId="7" fillId="0" borderId="17" xfId="6" applyFont="1" applyBorder="1" applyAlignment="1">
      <alignment horizontal="left"/>
    </xf>
    <xf numFmtId="0" fontId="7" fillId="0" borderId="19" xfId="6" applyFont="1" applyBorder="1" applyAlignment="1">
      <alignment horizontal="left"/>
    </xf>
    <xf numFmtId="0" fontId="24" fillId="0" borderId="41" xfId="6" applyFont="1" applyBorder="1" applyAlignment="1">
      <alignment horizontal="center"/>
    </xf>
    <xf numFmtId="0" fontId="24" fillId="0" borderId="42" xfId="6" applyFont="1" applyBorder="1" applyAlignment="1">
      <alignment horizontal="center"/>
    </xf>
    <xf numFmtId="0" fontId="24" fillId="0" borderId="75" xfId="6" applyFont="1" applyBorder="1" applyAlignment="1">
      <alignment horizontal="center"/>
    </xf>
    <xf numFmtId="0" fontId="8" fillId="0" borderId="38" xfId="6" applyBorder="1" applyAlignment="1">
      <alignment horizontal="left"/>
    </xf>
    <xf numFmtId="0" fontId="8" fillId="4" borderId="3" xfId="6" applyFill="1" applyBorder="1" applyAlignment="1">
      <alignment horizontal="center" wrapText="1"/>
    </xf>
    <xf numFmtId="0" fontId="8" fillId="4" borderId="5" xfId="6" applyFill="1" applyBorder="1" applyAlignment="1">
      <alignment horizontal="center" wrapText="1"/>
    </xf>
    <xf numFmtId="0" fontId="8" fillId="4" borderId="58" xfId="6" applyFill="1" applyBorder="1" applyAlignment="1">
      <alignment horizontal="center" wrapText="1"/>
    </xf>
    <xf numFmtId="0" fontId="8" fillId="0" borderId="3" xfId="6" applyBorder="1" applyAlignment="1">
      <alignment horizontal="left" wrapText="1"/>
    </xf>
    <xf numFmtId="0" fontId="63" fillId="0" borderId="0" xfId="6" applyFont="1" applyAlignment="1">
      <alignment horizontal="center"/>
    </xf>
    <xf numFmtId="0" fontId="7" fillId="4" borderId="41" xfId="6" applyFont="1" applyFill="1" applyBorder="1" applyAlignment="1">
      <alignment horizontal="left"/>
    </xf>
    <xf numFmtId="0" fontId="7" fillId="4" borderId="42" xfId="6" applyFont="1" applyFill="1" applyBorder="1" applyAlignment="1">
      <alignment horizontal="left"/>
    </xf>
    <xf numFmtId="0" fontId="7" fillId="4" borderId="24" xfId="6" applyFont="1" applyFill="1" applyBorder="1" applyAlignment="1">
      <alignment horizontal="left"/>
    </xf>
    <xf numFmtId="0" fontId="7" fillId="4" borderId="109" xfId="6" applyFont="1" applyFill="1" applyBorder="1" applyAlignment="1">
      <alignment horizontal="left"/>
    </xf>
    <xf numFmtId="0" fontId="7" fillId="4" borderId="61" xfId="6" applyFont="1" applyFill="1" applyBorder="1" applyAlignment="1">
      <alignment horizontal="left"/>
    </xf>
    <xf numFmtId="0" fontId="7" fillId="4" borderId="25" xfId="6" applyFont="1" applyFill="1" applyBorder="1" applyAlignment="1">
      <alignment horizontal="left"/>
    </xf>
    <xf numFmtId="0" fontId="7" fillId="4" borderId="112" xfId="6" applyFont="1" applyFill="1" applyBorder="1" applyAlignment="1">
      <alignment horizontal="left"/>
    </xf>
    <xf numFmtId="0" fontId="7" fillId="4" borderId="113" xfId="6" applyFont="1" applyFill="1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8" fillId="0" borderId="35" xfId="6" applyFont="1" applyBorder="1" applyAlignment="1">
      <alignment horizontal="center"/>
    </xf>
    <xf numFmtId="0" fontId="58" fillId="0" borderId="36" xfId="6" applyFont="1" applyBorder="1" applyAlignment="1">
      <alignment horizontal="center"/>
    </xf>
    <xf numFmtId="0" fontId="58" fillId="0" borderId="57" xfId="6" applyFont="1" applyBorder="1" applyAlignment="1">
      <alignment horizontal="center"/>
    </xf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15" xfId="7" applyBorder="1" applyAlignment="1">
      <alignment horizontal="left"/>
    </xf>
    <xf numFmtId="0" fontId="8" fillId="0" borderId="95" xfId="7" applyBorder="1" applyAlignment="1">
      <alignment horizontal="center"/>
    </xf>
    <xf numFmtId="0" fontId="8" fillId="0" borderId="94" xfId="7" applyBorder="1" applyAlignment="1">
      <alignment horizontal="center"/>
    </xf>
    <xf numFmtId="0" fontId="8" fillId="0" borderId="15" xfId="7" applyFont="1" applyBorder="1" applyAlignment="1">
      <alignment horizontal="left"/>
    </xf>
    <xf numFmtId="0" fontId="7" fillId="0" borderId="1" xfId="7" applyFont="1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16" xfId="7" applyFill="1" applyBorder="1" applyAlignment="1">
      <alignment horizontal="center"/>
    </xf>
    <xf numFmtId="0" fontId="8" fillId="0" borderId="1" xfId="7" applyFont="1" applyBorder="1" applyAlignment="1">
      <alignment horizontal="left"/>
    </xf>
    <xf numFmtId="0" fontId="8" fillId="0" borderId="3" xfId="7" applyFont="1" applyBorder="1" applyAlignment="1">
      <alignment horizontal="left"/>
    </xf>
    <xf numFmtId="0" fontId="8" fillId="0" borderId="2" xfId="7" applyFont="1" applyBorder="1" applyAlignment="1">
      <alignment horizontal="left"/>
    </xf>
    <xf numFmtId="0" fontId="8" fillId="0" borderId="27" xfId="7" applyFont="1" applyFill="1" applyBorder="1" applyAlignment="1">
      <alignment horizontal="left"/>
    </xf>
    <xf numFmtId="0" fontId="8" fillId="0" borderId="59" xfId="7" applyFill="1" applyBorder="1" applyAlignment="1">
      <alignment horizontal="left"/>
    </xf>
    <xf numFmtId="0" fontId="8" fillId="0" borderId="16" xfId="7" applyFill="1" applyBorder="1" applyAlignment="1">
      <alignment horizontal="left"/>
    </xf>
    <xf numFmtId="0" fontId="7" fillId="0" borderId="1" xfId="7" applyFont="1" applyFill="1" applyBorder="1" applyAlignment="1">
      <alignment horizontal="center"/>
    </xf>
    <xf numFmtId="0" fontId="8" fillId="0" borderId="1" xfId="7" applyFont="1" applyFill="1" applyBorder="1" applyAlignment="1">
      <alignment horizontal="left"/>
    </xf>
    <xf numFmtId="0" fontId="8" fillId="0" borderId="1" xfId="7" applyFill="1" applyBorder="1" applyAlignment="1">
      <alignment horizontal="left"/>
    </xf>
    <xf numFmtId="0" fontId="8" fillId="0" borderId="3" xfId="7" applyFill="1" applyBorder="1" applyAlignment="1">
      <alignment horizontal="left"/>
    </xf>
    <xf numFmtId="0" fontId="8" fillId="0" borderId="2" xfId="7" applyFill="1" applyBorder="1" applyAlignment="1">
      <alignment horizontal="left"/>
    </xf>
    <xf numFmtId="0" fontId="8" fillId="0" borderId="25" xfId="7" applyBorder="1" applyAlignment="1">
      <alignment horizontal="left"/>
    </xf>
    <xf numFmtId="0" fontId="8" fillId="0" borderId="28" xfId="7" applyBorder="1" applyAlignment="1">
      <alignment horizontal="left"/>
    </xf>
    <xf numFmtId="0" fontId="8" fillId="0" borderId="4" xfId="7" applyBorder="1" applyAlignment="1">
      <alignment horizontal="center"/>
    </xf>
    <xf numFmtId="0" fontId="8" fillId="0" borderId="28" xfId="7" applyBorder="1" applyAlignment="1">
      <alignment horizontal="center"/>
    </xf>
    <xf numFmtId="0" fontId="8" fillId="0" borderId="16" xfId="7" applyBorder="1" applyAlignment="1">
      <alignment horizontal="left"/>
    </xf>
    <xf numFmtId="0" fontId="8" fillId="0" borderId="1" xfId="7" applyBorder="1" applyAlignment="1">
      <alignment horizontal="center"/>
    </xf>
    <xf numFmtId="0" fontId="8" fillId="0" borderId="15" xfId="7" applyBorder="1" applyAlignment="1">
      <alignment horizontal="center"/>
    </xf>
    <xf numFmtId="0" fontId="8" fillId="0" borderId="0" xfId="7" applyBorder="1" applyAlignment="1">
      <alignment horizontal="left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left"/>
    </xf>
    <xf numFmtId="0" fontId="8" fillId="0" borderId="27" xfId="7" applyBorder="1" applyAlignment="1">
      <alignment horizontal="left"/>
    </xf>
    <xf numFmtId="0" fontId="8" fillId="0" borderId="59" xfId="7" applyBorder="1" applyAlignment="1">
      <alignment horizontal="left"/>
    </xf>
    <xf numFmtId="0" fontId="8" fillId="0" borderId="95" xfId="7" applyBorder="1" applyAlignment="1">
      <alignment horizontal="left"/>
    </xf>
    <xf numFmtId="0" fontId="8" fillId="0" borderId="94" xfId="7" applyBorder="1" applyAlignment="1">
      <alignment horizontal="left"/>
    </xf>
    <xf numFmtId="0" fontId="7" fillId="3" borderId="1" xfId="7" applyFont="1" applyFill="1" applyBorder="1" applyAlignment="1">
      <alignment horizontal="left"/>
    </xf>
    <xf numFmtId="0" fontId="0" fillId="0" borderId="152" xfId="0" applyBorder="1" applyAlignment="1">
      <alignment horizontal="center"/>
    </xf>
    <xf numFmtId="0" fontId="7" fillId="0" borderId="16" xfId="7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43" fontId="7" fillId="5" borderId="2" xfId="1" applyNumberFormat="1" applyFont="1" applyFill="1" applyBorder="1" applyProtection="1"/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3 2" xfId="11" xr:uid="{00000000-0005-0000-0000-000003000000}"/>
    <cellStyle name="Currency" xfId="4" builtinId="4"/>
    <cellStyle name="Currency 2" xfId="5" xr:uid="{00000000-0005-0000-0000-000005000000}"/>
    <cellStyle name="Currency 3" xfId="13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4 2" xfId="12" xr:uid="{00000000-0005-0000-0000-00000B000000}"/>
    <cellStyle name="Percent" xfId="9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65CD25-73E1-42BA-9727-76B755357481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oneCellAnchor>
    <xdr:from>
      <xdr:col>14</xdr:col>
      <xdr:colOff>0</xdr:colOff>
      <xdr:row>79</xdr:row>
      <xdr:rowOff>9525</xdr:rowOff>
    </xdr:from>
    <xdr:ext cx="7391399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85B27-6626-4C01-8432-C4AE1AD17482}"/>
            </a:ext>
          </a:extLst>
        </xdr:cNvPr>
        <xdr:cNvSpPr txBox="1"/>
      </xdr:nvSpPr>
      <xdr:spPr>
        <a:xfrm>
          <a:off x="16678275" y="14239875"/>
          <a:ext cx="7391399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20</xdr:col>
      <xdr:colOff>1270001</xdr:colOff>
      <xdr:row>33</xdr:row>
      <xdr:rowOff>25401</xdr:rowOff>
    </xdr:from>
    <xdr:ext cx="4730750" cy="5778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C55911-2953-4046-ADE9-47A361D6E007}"/>
            </a:ext>
          </a:extLst>
        </xdr:cNvPr>
        <xdr:cNvSpPr txBox="1"/>
      </xdr:nvSpPr>
      <xdr:spPr>
        <a:xfrm>
          <a:off x="22672676" y="6454776"/>
          <a:ext cx="4730750" cy="577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8D65E7-BC77-439B-A1FD-59650249EAE6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twoCellAnchor>
    <xdr:from>
      <xdr:col>1</xdr:col>
      <xdr:colOff>1</xdr:colOff>
      <xdr:row>33</xdr:row>
      <xdr:rowOff>38100</xdr:rowOff>
    </xdr:from>
    <xdr:to>
      <xdr:col>2</xdr:col>
      <xdr:colOff>2400301</xdr:colOff>
      <xdr:row>36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2CC4855-C5F6-418E-BA04-3E8BD89FC69D}"/>
            </a:ext>
          </a:extLst>
        </xdr:cNvPr>
        <xdr:cNvSpPr txBox="1"/>
      </xdr:nvSpPr>
      <xdr:spPr>
        <a:xfrm rot="10800000" flipV="1">
          <a:off x="57151" y="6734175"/>
          <a:ext cx="5391150" cy="590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NOTES:  25% svc chg- Omni Colonnade</a:t>
          </a:r>
          <a:r>
            <a:rPr lang="en-US" sz="1100" b="1" baseline="0"/>
            <a:t> not available</a:t>
          </a:r>
        </a:p>
      </xdr:txBody>
    </xdr:sp>
    <xdr:clientData/>
  </xdr:twoCellAnchor>
  <xdr:oneCellAnchor>
    <xdr:from>
      <xdr:col>4</xdr:col>
      <xdr:colOff>3173</xdr:colOff>
      <xdr:row>32</xdr:row>
      <xdr:rowOff>57151</xdr:rowOff>
    </xdr:from>
    <xdr:ext cx="5083175" cy="5715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015A239-0D05-4984-9419-A203DCD71FD1}"/>
            </a:ext>
          </a:extLst>
        </xdr:cNvPr>
        <xdr:cNvSpPr txBox="1"/>
      </xdr:nvSpPr>
      <xdr:spPr>
        <a:xfrm rot="10800000" flipV="1">
          <a:off x="6165848" y="6362701"/>
          <a:ext cx="5083175" cy="571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 :</a:t>
          </a:r>
        </a:p>
      </xdr:txBody>
    </xdr:sp>
    <xdr:clientData/>
  </xdr:oneCellAnchor>
  <xdr:oneCellAnchor>
    <xdr:from>
      <xdr:col>14</xdr:col>
      <xdr:colOff>0</xdr:colOff>
      <xdr:row>80</xdr:row>
      <xdr:rowOff>9525</xdr:rowOff>
    </xdr:from>
    <xdr:ext cx="5476875" cy="66675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1DEEEDB-63D9-47FF-9D36-4EBDE35BCEFF}"/>
            </a:ext>
          </a:extLst>
        </xdr:cNvPr>
        <xdr:cNvSpPr txBox="1"/>
      </xdr:nvSpPr>
      <xdr:spPr>
        <a:xfrm>
          <a:off x="18449925" y="14478000"/>
          <a:ext cx="5476875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28</xdr:col>
      <xdr:colOff>314326</xdr:colOff>
      <xdr:row>37</xdr:row>
      <xdr:rowOff>66676</xdr:rowOff>
    </xdr:from>
    <xdr:ext cx="5178424" cy="65722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0F64204-3A44-4B11-8BD9-14165BA0DA1B}"/>
            </a:ext>
          </a:extLst>
        </xdr:cNvPr>
        <xdr:cNvSpPr txBox="1"/>
      </xdr:nvSpPr>
      <xdr:spPr>
        <a:xfrm>
          <a:off x="36204526" y="7324726"/>
          <a:ext cx="5178424" cy="657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*$32.00</a:t>
          </a:r>
          <a:r>
            <a:rPr lang="en-US" sz="1100" b="1" baseline="0"/>
            <a:t> ++pp      * lowered the Sponsorship expense from $5,000.00 to $2,500.00.</a:t>
          </a:r>
        </a:p>
        <a:p>
          <a:r>
            <a:rPr lang="en-US" sz="1100" b="1" baseline="0"/>
            <a:t>Gerald's gaming prices have gone up, he now charges for stools	</a:t>
          </a:r>
          <a:endParaRPr lang="en-US" sz="1100" b="1"/>
        </a:p>
      </xdr:txBody>
    </xdr:sp>
    <xdr:clientData/>
  </xdr:oneCellAnchor>
  <xdr:oneCellAnchor>
    <xdr:from>
      <xdr:col>24</xdr:col>
      <xdr:colOff>3176</xdr:colOff>
      <xdr:row>32</xdr:row>
      <xdr:rowOff>66674</xdr:rowOff>
    </xdr:from>
    <xdr:ext cx="5578474" cy="66675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2B0D497-6DEC-458A-A4B5-F5A300937266}"/>
            </a:ext>
          </a:extLst>
        </xdr:cNvPr>
        <xdr:cNvSpPr txBox="1"/>
      </xdr:nvSpPr>
      <xdr:spPr>
        <a:xfrm>
          <a:off x="29854526" y="6372224"/>
          <a:ext cx="5578474" cy="6667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31</xdr:col>
      <xdr:colOff>206375</xdr:colOff>
      <xdr:row>46</xdr:row>
      <xdr:rowOff>31750</xdr:rowOff>
    </xdr:from>
    <xdr:ext cx="6163945" cy="82867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B43CEA-5A7E-488C-946E-0BA64325C785}"/>
            </a:ext>
          </a:extLst>
        </xdr:cNvPr>
        <xdr:cNvSpPr txBox="1"/>
      </xdr:nvSpPr>
      <xdr:spPr>
        <a:xfrm>
          <a:off x="41209595" y="10006330"/>
          <a:ext cx="6163945" cy="82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 decreased</a:t>
          </a:r>
          <a:r>
            <a:rPr lang="en-US" sz="1100" b="1" baseline="0"/>
            <a:t> the wine sponsor by one </a:t>
          </a:r>
        </a:p>
        <a:p>
          <a:r>
            <a:rPr lang="en-US" sz="1100" b="1" baseline="0"/>
            <a:t>* added an additonal beer sponsor </a:t>
          </a:r>
        </a:p>
        <a:p>
          <a:r>
            <a:rPr lang="en-US" sz="1100" b="1" baseline="0"/>
            <a:t>* added an additional game card / map sponsor</a:t>
          </a:r>
        </a:p>
        <a:p>
          <a:endParaRPr lang="en-US" sz="1100" b="1"/>
        </a:p>
      </xdr:txBody>
    </xdr:sp>
    <xdr:clientData/>
  </xdr:oneCellAnchor>
  <xdr:oneCellAnchor>
    <xdr:from>
      <xdr:col>39</xdr:col>
      <xdr:colOff>1</xdr:colOff>
      <xdr:row>42</xdr:row>
      <xdr:rowOff>25399</xdr:rowOff>
    </xdr:from>
    <xdr:ext cx="5705474" cy="69532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EBB3EC2-51CE-49EF-84F5-8672DB2F2945}"/>
            </a:ext>
          </a:extLst>
        </xdr:cNvPr>
        <xdr:cNvSpPr txBox="1"/>
      </xdr:nvSpPr>
      <xdr:spPr>
        <a:xfrm>
          <a:off x="48329851" y="8169274"/>
          <a:ext cx="5705474" cy="695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</xdr:txBody>
    </xdr:sp>
    <xdr:clientData/>
  </xdr:oneCellAnchor>
  <xdr:oneCellAnchor>
    <xdr:from>
      <xdr:col>44</xdr:col>
      <xdr:colOff>9525</xdr:colOff>
      <xdr:row>33</xdr:row>
      <xdr:rowOff>9524</xdr:rowOff>
    </xdr:from>
    <xdr:ext cx="6143625" cy="75247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BA467E-D3FC-4E61-BA3A-7B89E724D3A7}"/>
            </a:ext>
          </a:extLst>
        </xdr:cNvPr>
        <xdr:cNvSpPr txBox="1"/>
      </xdr:nvSpPr>
      <xdr:spPr>
        <a:xfrm>
          <a:off x="54540150" y="6515099"/>
          <a:ext cx="61436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  <a:r>
            <a:rPr lang="en-US" sz="1100"/>
            <a:t> </a:t>
          </a:r>
        </a:p>
      </xdr:txBody>
    </xdr:sp>
    <xdr:clientData/>
  </xdr:oneCellAnchor>
  <xdr:oneCellAnchor>
    <xdr:from>
      <xdr:col>4</xdr:col>
      <xdr:colOff>0</xdr:colOff>
      <xdr:row>39</xdr:row>
      <xdr:rowOff>142875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E34BAC-6583-45FD-A7DD-CFEA0D6E6691}"/>
            </a:ext>
          </a:extLst>
        </xdr:cNvPr>
        <xdr:cNvSpPr txBox="1"/>
      </xdr:nvSpPr>
      <xdr:spPr>
        <a:xfrm>
          <a:off x="66198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32</xdr:row>
      <xdr:rowOff>76201</xdr:rowOff>
    </xdr:from>
    <xdr:ext cx="5181600" cy="70167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03CA2-94B4-4B78-8F8B-9D1F24F5E341}"/>
            </a:ext>
          </a:extLst>
        </xdr:cNvPr>
        <xdr:cNvSpPr txBox="1"/>
      </xdr:nvSpPr>
      <xdr:spPr>
        <a:xfrm>
          <a:off x="24193500" y="6381751"/>
          <a:ext cx="5181600" cy="701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108"/>
  <sheetViews>
    <sheetView view="pageLayout" zoomScaleNormal="100" zoomScaleSheetLayoutView="75" workbookViewId="0">
      <selection activeCell="C25" sqref="C25"/>
    </sheetView>
  </sheetViews>
  <sheetFormatPr defaultRowHeight="12.75" x14ac:dyDescent="0.2"/>
  <cols>
    <col min="1" max="1" width="21.42578125" customWidth="1"/>
    <col min="2" max="2" width="14" customWidth="1"/>
    <col min="3" max="3" width="15.42578125" customWidth="1"/>
    <col min="4" max="4" width="16" customWidth="1"/>
    <col min="5" max="5" width="21" customWidth="1"/>
    <col min="6" max="6" width="14.7109375" customWidth="1"/>
    <col min="7" max="7" width="20.42578125" customWidth="1"/>
    <col min="8" max="8" width="14" customWidth="1"/>
    <col min="10" max="10" width="11.5703125" bestFit="1" customWidth="1"/>
    <col min="11" max="11" width="12" bestFit="1" customWidth="1"/>
    <col min="12" max="12" width="8" customWidth="1"/>
    <col min="13" max="13" width="11.5703125" bestFit="1" customWidth="1"/>
    <col min="14" max="14" width="12" bestFit="1" customWidth="1"/>
  </cols>
  <sheetData>
    <row r="1" spans="1:15" x14ac:dyDescent="0.2">
      <c r="A1" s="35" t="s">
        <v>88</v>
      </c>
      <c r="J1" s="3"/>
      <c r="K1" s="3"/>
      <c r="L1" s="3"/>
      <c r="M1" s="3"/>
      <c r="N1" s="3"/>
      <c r="O1" s="3"/>
    </row>
    <row r="2" spans="1:15" x14ac:dyDescent="0.2">
      <c r="A2" s="5" t="s">
        <v>26</v>
      </c>
      <c r="J2" s="3"/>
      <c r="K2" s="3"/>
      <c r="L2" s="3"/>
      <c r="M2" s="98"/>
      <c r="N2" s="98"/>
      <c r="O2" s="3"/>
    </row>
    <row r="3" spans="1:15" x14ac:dyDescent="0.2">
      <c r="B3" s="1"/>
      <c r="C3" s="1"/>
      <c r="J3" s="3"/>
      <c r="K3" s="3"/>
      <c r="L3" s="3"/>
      <c r="M3" s="21"/>
      <c r="N3" s="21"/>
      <c r="O3" s="3"/>
    </row>
    <row r="4" spans="1:15" x14ac:dyDescent="0.2">
      <c r="A4" s="7" t="s">
        <v>14</v>
      </c>
      <c r="B4" s="70" t="s">
        <v>33</v>
      </c>
      <c r="C4" s="70" t="s">
        <v>34</v>
      </c>
      <c r="D4" s="48" t="s">
        <v>2</v>
      </c>
      <c r="E4" s="1877" t="s">
        <v>54</v>
      </c>
      <c r="F4" s="1878"/>
      <c r="G4" s="1877" t="s">
        <v>68</v>
      </c>
      <c r="H4" s="1878"/>
      <c r="J4" s="3"/>
      <c r="K4" s="3"/>
      <c r="L4" s="3"/>
      <c r="M4" s="3"/>
      <c r="N4" s="3"/>
      <c r="O4" s="3"/>
    </row>
    <row r="5" spans="1:15" x14ac:dyDescent="0.2">
      <c r="A5" s="40" t="s">
        <v>36</v>
      </c>
      <c r="B5" s="71">
        <v>7.4999999999999997E-2</v>
      </c>
      <c r="C5" s="71">
        <v>0.92500000000000004</v>
      </c>
      <c r="D5" s="72">
        <f>+B5+C5</f>
        <v>1</v>
      </c>
      <c r="E5" s="40" t="s">
        <v>69</v>
      </c>
      <c r="F5" s="71">
        <v>7.4899999999999994E-2</v>
      </c>
      <c r="G5" s="40" t="s">
        <v>55</v>
      </c>
      <c r="H5" s="71">
        <f>H6/F6</f>
        <v>0</v>
      </c>
      <c r="J5" s="3"/>
      <c r="K5" s="3"/>
      <c r="L5" s="3"/>
      <c r="M5" s="3"/>
      <c r="N5" s="3"/>
      <c r="O5" s="3"/>
    </row>
    <row r="6" spans="1:15" ht="16.5" thickBot="1" x14ac:dyDescent="0.3">
      <c r="A6" s="38" t="s">
        <v>35</v>
      </c>
      <c r="B6" s="51">
        <f>D6*B5</f>
        <v>21000</v>
      </c>
      <c r="C6" s="51">
        <f>D6*C5</f>
        <v>259000</v>
      </c>
      <c r="D6" s="51">
        <v>280000</v>
      </c>
      <c r="E6" s="38" t="s">
        <v>56</v>
      </c>
      <c r="F6" s="51">
        <f>C6*F5</f>
        <v>19399.099999999999</v>
      </c>
      <c r="G6" s="38" t="s">
        <v>70</v>
      </c>
      <c r="H6" s="51">
        <v>0</v>
      </c>
      <c r="J6" s="99"/>
      <c r="K6" s="89"/>
      <c r="L6" s="89"/>
      <c r="M6" s="89"/>
      <c r="N6" s="3"/>
      <c r="O6" s="3"/>
    </row>
    <row r="7" spans="1:15" ht="16.5" thickTop="1" x14ac:dyDescent="0.25">
      <c r="A7" s="50" t="s">
        <v>15</v>
      </c>
      <c r="B7" s="73">
        <v>0.47799999999999998</v>
      </c>
      <c r="C7" s="73">
        <v>0.4</v>
      </c>
      <c r="D7" s="73">
        <f>D8/D6</f>
        <v>0.40584999999999999</v>
      </c>
      <c r="E7" s="50" t="s">
        <v>71</v>
      </c>
      <c r="F7" s="73">
        <v>7.0000000000000007E-2</v>
      </c>
      <c r="G7" s="50" t="s">
        <v>57</v>
      </c>
      <c r="H7" s="73">
        <v>8.6999999999999994E-2</v>
      </c>
      <c r="J7" s="114"/>
      <c r="K7" s="100"/>
      <c r="L7" s="89"/>
      <c r="M7" s="18"/>
      <c r="N7" s="97"/>
      <c r="O7" s="3"/>
    </row>
    <row r="8" spans="1:15" ht="16.5" thickBot="1" x14ac:dyDescent="0.3">
      <c r="A8" s="38" t="s">
        <v>37</v>
      </c>
      <c r="B8" s="74">
        <f>+B6*B7</f>
        <v>10038</v>
      </c>
      <c r="C8" s="91">
        <f>+C6*C7</f>
        <v>103600</v>
      </c>
      <c r="D8" s="92">
        <f>SUM(B8:C8)</f>
        <v>113638</v>
      </c>
      <c r="E8" s="38" t="s">
        <v>58</v>
      </c>
      <c r="F8" s="52">
        <f>C6*F7</f>
        <v>18130</v>
      </c>
      <c r="G8" s="38" t="s">
        <v>58</v>
      </c>
      <c r="H8" s="52">
        <f>B6*H7</f>
        <v>1826.9999999999998</v>
      </c>
      <c r="J8" s="114"/>
      <c r="K8" s="100"/>
      <c r="L8" s="89"/>
      <c r="M8" s="18"/>
      <c r="N8" s="97"/>
      <c r="O8" s="3"/>
    </row>
    <row r="9" spans="1:15" ht="16.5" thickTop="1" x14ac:dyDescent="0.25">
      <c r="J9" s="114"/>
      <c r="K9" s="100"/>
      <c r="L9" s="89"/>
      <c r="M9" s="18"/>
      <c r="N9" s="97"/>
      <c r="O9" s="3"/>
    </row>
    <row r="10" spans="1:15" ht="15.75" x14ac:dyDescent="0.25">
      <c r="A10" s="44" t="s">
        <v>46</v>
      </c>
      <c r="B10" s="1884" t="s">
        <v>39</v>
      </c>
      <c r="C10" s="1885"/>
      <c r="D10" s="12" t="s">
        <v>47</v>
      </c>
      <c r="E10" s="36"/>
      <c r="F10" s="1885" t="s">
        <v>42</v>
      </c>
      <c r="G10" s="1886"/>
      <c r="H10" s="8" t="s">
        <v>6</v>
      </c>
      <c r="I10" s="1"/>
      <c r="J10" s="114"/>
      <c r="K10" s="100"/>
      <c r="L10" s="89"/>
      <c r="M10" s="18"/>
      <c r="N10" s="97"/>
      <c r="O10" s="3"/>
    </row>
    <row r="11" spans="1:15" ht="15.75" x14ac:dyDescent="0.25">
      <c r="A11" s="13" t="s">
        <v>38</v>
      </c>
      <c r="B11" s="49"/>
      <c r="C11" s="22"/>
      <c r="D11" s="75"/>
      <c r="E11" s="76"/>
      <c r="F11" s="45"/>
      <c r="G11" s="23"/>
      <c r="H11" s="24"/>
      <c r="J11" s="114"/>
      <c r="K11" s="100"/>
      <c r="L11" s="89"/>
      <c r="M11" s="18"/>
      <c r="N11" s="97"/>
      <c r="O11" s="3"/>
    </row>
    <row r="12" spans="1:15" ht="15.75" x14ac:dyDescent="0.25">
      <c r="A12" s="13" t="s">
        <v>16</v>
      </c>
      <c r="B12" s="10"/>
      <c r="C12" s="53"/>
      <c r="D12" s="77"/>
      <c r="E12" s="78"/>
      <c r="F12" s="25"/>
      <c r="G12" s="54"/>
      <c r="H12" s="79"/>
      <c r="J12" s="114"/>
      <c r="K12" s="101"/>
      <c r="L12" s="89"/>
      <c r="M12" s="18"/>
      <c r="N12" s="97"/>
      <c r="O12" s="3"/>
    </row>
    <row r="13" spans="1:15" ht="15.75" x14ac:dyDescent="0.25">
      <c r="A13" s="13" t="s">
        <v>38</v>
      </c>
      <c r="B13" s="9"/>
      <c r="C13" s="22"/>
      <c r="D13" s="77"/>
      <c r="E13" s="80"/>
      <c r="F13" s="25"/>
      <c r="G13" s="23"/>
      <c r="H13" s="24"/>
      <c r="J13" s="114"/>
      <c r="K13" s="100"/>
      <c r="L13" s="89"/>
      <c r="M13" s="18"/>
      <c r="N13" s="97"/>
      <c r="O13" s="3"/>
    </row>
    <row r="14" spans="1:15" ht="15.75" x14ac:dyDescent="0.25">
      <c r="A14" s="13" t="s">
        <v>48</v>
      </c>
      <c r="B14" s="10"/>
      <c r="C14" s="22"/>
      <c r="D14" s="77"/>
      <c r="E14" s="78"/>
      <c r="F14" s="1877"/>
      <c r="G14" s="1878"/>
      <c r="H14" s="24"/>
      <c r="J14" s="114"/>
      <c r="K14" s="100"/>
      <c r="L14" s="89"/>
      <c r="M14" s="18"/>
      <c r="N14" s="97"/>
      <c r="O14" s="3"/>
    </row>
    <row r="15" spans="1:15" ht="15.75" x14ac:dyDescent="0.25">
      <c r="A15" s="13" t="s">
        <v>17</v>
      </c>
      <c r="B15" s="10"/>
      <c r="C15" s="22"/>
      <c r="D15" s="77"/>
      <c r="E15" s="78"/>
      <c r="F15" s="25"/>
      <c r="G15" s="23"/>
      <c r="H15" s="57"/>
      <c r="J15" s="114"/>
      <c r="K15" s="100"/>
      <c r="L15" s="89"/>
      <c r="M15" s="18"/>
      <c r="N15" s="97"/>
      <c r="O15" s="3"/>
    </row>
    <row r="16" spans="1:15" ht="15.75" x14ac:dyDescent="0.25">
      <c r="A16" s="13" t="s">
        <v>40</v>
      </c>
      <c r="B16" s="9"/>
      <c r="C16" s="26"/>
      <c r="D16" s="77"/>
      <c r="E16" s="80"/>
      <c r="F16" s="25"/>
      <c r="G16" s="26"/>
      <c r="H16" s="27"/>
      <c r="J16" s="114"/>
      <c r="K16" s="100"/>
      <c r="L16" s="89"/>
      <c r="M16" s="17"/>
      <c r="N16" s="97"/>
      <c r="O16" s="3"/>
    </row>
    <row r="17" spans="1:15" ht="16.5" thickBot="1" x14ac:dyDescent="0.3">
      <c r="B17" s="1"/>
      <c r="C17" s="1"/>
      <c r="J17" s="114"/>
      <c r="K17" s="89"/>
      <c r="L17" s="89"/>
      <c r="M17" s="17"/>
      <c r="N17" s="17"/>
      <c r="O17" s="3"/>
    </row>
    <row r="18" spans="1:15" ht="15.75" x14ac:dyDescent="0.25">
      <c r="A18" s="1879" t="s">
        <v>44</v>
      </c>
      <c r="B18" s="28" t="s">
        <v>18</v>
      </c>
      <c r="C18" s="28" t="s">
        <v>9</v>
      </c>
      <c r="D18" s="29" t="s">
        <v>11</v>
      </c>
      <c r="E18" s="1879" t="s">
        <v>13</v>
      </c>
      <c r="F18" s="28" t="s">
        <v>18</v>
      </c>
      <c r="G18" s="28" t="s">
        <v>9</v>
      </c>
      <c r="H18" s="29" t="s">
        <v>11</v>
      </c>
      <c r="J18" s="114"/>
      <c r="K18" s="89"/>
      <c r="L18" s="89"/>
      <c r="M18" s="102"/>
      <c r="N18" s="97"/>
      <c r="O18" s="3"/>
    </row>
    <row r="19" spans="1:15" ht="16.5" thickBot="1" x14ac:dyDescent="0.3">
      <c r="A19" s="1880"/>
      <c r="B19" s="30">
        <v>10</v>
      </c>
      <c r="C19" s="31">
        <v>15</v>
      </c>
      <c r="D19" s="32"/>
      <c r="E19" s="1880"/>
      <c r="F19" s="30">
        <v>35</v>
      </c>
      <c r="G19" s="31">
        <v>25</v>
      </c>
      <c r="H19" s="56">
        <f>G19*F19</f>
        <v>875</v>
      </c>
      <c r="J19" s="99"/>
      <c r="K19" s="89"/>
      <c r="L19" s="89"/>
      <c r="M19" s="102"/>
      <c r="N19" s="97"/>
      <c r="O19" s="3"/>
    </row>
    <row r="20" spans="1:15" ht="16.5" thickBot="1" x14ac:dyDescent="0.3">
      <c r="A20" s="1879" t="s">
        <v>45</v>
      </c>
      <c r="B20" s="30">
        <v>15</v>
      </c>
      <c r="C20" s="31">
        <v>25</v>
      </c>
      <c r="D20" s="32"/>
      <c r="J20" s="114"/>
      <c r="K20" s="100"/>
      <c r="L20" s="89"/>
      <c r="M20" s="18"/>
      <c r="N20" s="97"/>
      <c r="O20" s="3"/>
    </row>
    <row r="21" spans="1:15" ht="0.75" customHeight="1" thickBot="1" x14ac:dyDescent="0.3">
      <c r="A21" s="1880"/>
      <c r="J21" s="114"/>
      <c r="K21" s="100"/>
      <c r="L21" s="89"/>
      <c r="M21" s="18"/>
      <c r="N21" s="97"/>
      <c r="O21" s="3"/>
    </row>
    <row r="22" spans="1:15" ht="15.75" x14ac:dyDescent="0.25">
      <c r="A22" s="6"/>
      <c r="B22" s="1877" t="s">
        <v>11</v>
      </c>
      <c r="C22" s="1881"/>
      <c r="D22" s="55">
        <v>1000</v>
      </c>
      <c r="E22" s="6"/>
      <c r="F22" s="1882"/>
      <c r="G22" s="1882"/>
      <c r="J22" s="114"/>
      <c r="K22" s="100"/>
      <c r="L22" s="89"/>
      <c r="M22" s="18"/>
      <c r="N22" s="97"/>
      <c r="O22" s="3"/>
    </row>
    <row r="23" spans="1:15" ht="15.75" x14ac:dyDescent="0.25">
      <c r="A23" s="3"/>
      <c r="B23" s="2"/>
      <c r="C23" s="2"/>
      <c r="E23" s="3"/>
      <c r="F23" s="2"/>
      <c r="G23" s="2"/>
      <c r="J23" s="114"/>
      <c r="K23" s="100"/>
      <c r="L23" s="89"/>
      <c r="M23" s="18"/>
      <c r="N23" s="97"/>
      <c r="O23" s="3"/>
    </row>
    <row r="24" spans="1:15" ht="15.75" x14ac:dyDescent="0.25">
      <c r="A24" s="3"/>
      <c r="B24" s="11"/>
      <c r="C24" s="2"/>
      <c r="E24" s="3"/>
      <c r="F24" s="11"/>
      <c r="G24" s="2"/>
      <c r="J24" s="114"/>
      <c r="K24" s="100"/>
      <c r="L24" s="89"/>
      <c r="M24" s="18"/>
      <c r="N24" s="97"/>
      <c r="O24" s="3"/>
    </row>
    <row r="25" spans="1:15" ht="16.5" thickBot="1" x14ac:dyDescent="0.3">
      <c r="A25" s="39" t="s">
        <v>49</v>
      </c>
      <c r="B25" s="66"/>
      <c r="C25" s="11"/>
      <c r="E25" s="96"/>
      <c r="F25" s="2"/>
      <c r="G25" s="11"/>
      <c r="J25" s="114"/>
      <c r="K25" s="100"/>
      <c r="L25" s="89"/>
      <c r="M25" s="18"/>
      <c r="N25" s="97"/>
      <c r="O25" s="3"/>
    </row>
    <row r="26" spans="1:15" ht="16.5" thickTop="1" x14ac:dyDescent="0.25">
      <c r="A26" s="42" t="s">
        <v>50</v>
      </c>
      <c r="B26" s="64">
        <v>4</v>
      </c>
      <c r="C26" s="11"/>
      <c r="E26" s="96"/>
      <c r="F26" s="81"/>
      <c r="G26" s="82"/>
      <c r="J26" s="114"/>
      <c r="K26" s="100"/>
      <c r="L26" s="89"/>
      <c r="M26" s="18"/>
      <c r="N26" s="97"/>
      <c r="O26" s="3"/>
    </row>
    <row r="27" spans="1:15" ht="16.5" thickBot="1" x14ac:dyDescent="0.3">
      <c r="A27" s="67" t="s">
        <v>86</v>
      </c>
      <c r="B27" s="83">
        <v>2500</v>
      </c>
      <c r="C27" s="11"/>
      <c r="E27" s="6"/>
      <c r="F27" s="1883" t="s">
        <v>39</v>
      </c>
      <c r="G27" s="1883"/>
      <c r="J27" s="114"/>
      <c r="K27" s="100"/>
      <c r="L27" s="89"/>
      <c r="M27" s="18"/>
      <c r="N27" s="97"/>
      <c r="O27" s="3"/>
    </row>
    <row r="28" spans="1:15" ht="16.5" thickTop="1" x14ac:dyDescent="0.25">
      <c r="A28" s="43" t="s">
        <v>51</v>
      </c>
      <c r="B28" s="58">
        <f>SUM(B26*B27)</f>
        <v>10000</v>
      </c>
      <c r="C28" s="11"/>
      <c r="E28" s="84" t="s">
        <v>38</v>
      </c>
      <c r="F28" s="81">
        <v>0</v>
      </c>
      <c r="G28" s="81"/>
      <c r="J28" s="114"/>
      <c r="K28" s="100"/>
      <c r="L28" s="89"/>
      <c r="M28" s="18"/>
      <c r="N28" s="97"/>
      <c r="O28" s="3"/>
    </row>
    <row r="29" spans="1:15" ht="15.75" hidden="1" x14ac:dyDescent="0.25">
      <c r="A29" s="3"/>
      <c r="B29" s="2"/>
      <c r="C29" s="11"/>
      <c r="E29" s="84" t="s">
        <v>16</v>
      </c>
      <c r="F29" s="82">
        <v>35</v>
      </c>
      <c r="G29" s="85">
        <f>SUM(F28*F29)</f>
        <v>0</v>
      </c>
      <c r="J29" s="34"/>
      <c r="K29" s="15"/>
      <c r="L29" s="15"/>
      <c r="M29" s="17">
        <v>82848.209999999992</v>
      </c>
      <c r="N29" s="17">
        <v>122110.20999999999</v>
      </c>
    </row>
    <row r="30" spans="1:15" ht="15.75" hidden="1" x14ac:dyDescent="0.25">
      <c r="A30" s="3"/>
      <c r="B30" s="2"/>
      <c r="C30" s="11"/>
      <c r="E30" s="84" t="s">
        <v>17</v>
      </c>
      <c r="F30" s="82">
        <v>20</v>
      </c>
      <c r="G30" s="85">
        <f>F30*F28</f>
        <v>0</v>
      </c>
      <c r="J30" s="34"/>
      <c r="K30" s="15"/>
      <c r="L30" s="15"/>
      <c r="M30" s="19"/>
      <c r="N30" s="15"/>
    </row>
    <row r="31" spans="1:15" ht="16.5" hidden="1" thickBot="1" x14ac:dyDescent="0.3">
      <c r="E31" s="84" t="s">
        <v>40</v>
      </c>
      <c r="F31" s="81"/>
      <c r="G31" s="82">
        <f>+G29-G30</f>
        <v>0</v>
      </c>
      <c r="J31" s="90"/>
      <c r="K31" s="90" t="s">
        <v>22</v>
      </c>
      <c r="L31" s="15"/>
      <c r="M31" s="20">
        <v>149130.08000000002</v>
      </c>
      <c r="N31" s="20">
        <v>208883.08000000005</v>
      </c>
    </row>
    <row r="32" spans="1:15" ht="15" x14ac:dyDescent="0.25">
      <c r="B32" s="86"/>
      <c r="C32" s="86"/>
      <c r="E32" s="84"/>
      <c r="F32" s="84"/>
      <c r="G32" s="84"/>
    </row>
    <row r="33" spans="1:11" ht="13.5" thickBot="1" x14ac:dyDescent="0.25">
      <c r="A33" s="39" t="s">
        <v>19</v>
      </c>
      <c r="B33" s="87" t="s">
        <v>20</v>
      </c>
      <c r="C33" s="87" t="s">
        <v>21</v>
      </c>
      <c r="F33" s="1877" t="s">
        <v>72</v>
      </c>
      <c r="G33" s="1878"/>
    </row>
    <row r="34" spans="1:11" ht="13.5" thickTop="1" x14ac:dyDescent="0.2">
      <c r="A34" s="42" t="s">
        <v>55</v>
      </c>
      <c r="B34" s="71">
        <v>0.13</v>
      </c>
      <c r="C34" s="71">
        <v>0.14499999999999999</v>
      </c>
      <c r="F34" s="25">
        <v>0</v>
      </c>
      <c r="G34" s="54">
        <v>700</v>
      </c>
    </row>
    <row r="35" spans="1:11" ht="13.5" thickBot="1" x14ac:dyDescent="0.25">
      <c r="A35" s="42" t="s">
        <v>83</v>
      </c>
      <c r="B35" s="83">
        <f>B34*B6</f>
        <v>2730</v>
      </c>
      <c r="C35" s="83">
        <f>C34*B6</f>
        <v>3045</v>
      </c>
      <c r="D35" s="69"/>
      <c r="E35" s="37"/>
      <c r="J35" s="17"/>
      <c r="K35" s="95"/>
    </row>
    <row r="36" spans="1:11" ht="13.5" thickTop="1" x14ac:dyDescent="0.2">
      <c r="A36" s="44" t="s">
        <v>53</v>
      </c>
      <c r="B36" s="93" t="s">
        <v>20</v>
      </c>
      <c r="C36" s="64" t="s">
        <v>84</v>
      </c>
      <c r="D36" s="4" t="s">
        <v>0</v>
      </c>
      <c r="J36" s="16"/>
      <c r="K36" s="95"/>
    </row>
    <row r="37" spans="1:11" ht="13.5" thickBot="1" x14ac:dyDescent="0.25">
      <c r="A37" s="67" t="s">
        <v>55</v>
      </c>
      <c r="B37" s="94">
        <v>0.11700000000000001</v>
      </c>
      <c r="C37" s="83">
        <f>(B6+D19)*B37</f>
        <v>2457</v>
      </c>
    </row>
    <row r="38" spans="1:11" ht="13.5" thickTop="1" x14ac:dyDescent="0.2">
      <c r="C38" s="59"/>
      <c r="D38" s="59"/>
      <c r="E38" s="59"/>
      <c r="F38" s="59"/>
    </row>
    <row r="39" spans="1:11" ht="15.75" thickBot="1" x14ac:dyDescent="0.3">
      <c r="A39" s="46"/>
      <c r="B39" s="60" t="s">
        <v>3</v>
      </c>
      <c r="C39" s="61">
        <f>B6+C6+F6+H12+D22+H19+B28+C35</f>
        <v>314319.09999999998</v>
      </c>
      <c r="D39" s="62"/>
      <c r="E39" s="63" t="s">
        <v>1</v>
      </c>
      <c r="F39" s="61">
        <f>B8+C8+F8+H8+H15+B35+C37</f>
        <v>138782</v>
      </c>
      <c r="G39" s="46"/>
      <c r="H39" s="88">
        <f>F39/C39</f>
        <v>0.44153218814892259</v>
      </c>
    </row>
    <row r="40" spans="1:11" ht="13.5" thickTop="1" x14ac:dyDescent="0.2">
      <c r="F40" s="59">
        <f>C39-F39</f>
        <v>175537.09999999998</v>
      </c>
    </row>
    <row r="42" spans="1:11" x14ac:dyDescent="0.2">
      <c r="F42" s="59"/>
    </row>
    <row r="108" spans="24:27" x14ac:dyDescent="0.2">
      <c r="X108" s="14"/>
      <c r="Y108" s="14"/>
      <c r="Z108" s="14"/>
      <c r="AA108" s="14"/>
    </row>
  </sheetData>
  <mergeCells count="12">
    <mergeCell ref="E4:F4"/>
    <mergeCell ref="G4:H4"/>
    <mergeCell ref="B10:C10"/>
    <mergeCell ref="F10:G10"/>
    <mergeCell ref="A18:A19"/>
    <mergeCell ref="E18:E19"/>
    <mergeCell ref="F14:G14"/>
    <mergeCell ref="F33:G33"/>
    <mergeCell ref="A20:A21"/>
    <mergeCell ref="B22:C22"/>
    <mergeCell ref="F22:G22"/>
    <mergeCell ref="F27:G27"/>
  </mergeCells>
  <phoneticPr fontId="0" type="noConversion"/>
  <pageMargins left="0.5" right="0.5" top="0.75" bottom="0.75" header="0.5" footer="0.5"/>
  <pageSetup scale="94" firstPageNumber="24" fitToHeight="0" orientation="landscape" useFirstPageNumber="1" r:id="rId1"/>
  <headerFooter alignWithMargins="0">
    <oddHeader>&amp;C&amp;A</oddHeader>
    <oddFooter>&amp;C&amp;P&amp;RFINAL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80"/>
  <sheetViews>
    <sheetView tabSelected="1" zoomScaleNormal="100" workbookViewId="0">
      <selection activeCell="A50" sqref="A50"/>
    </sheetView>
  </sheetViews>
  <sheetFormatPr defaultColWidth="13" defaultRowHeight="15" x14ac:dyDescent="0.25"/>
  <cols>
    <col min="1" max="1" width="51" style="634" customWidth="1"/>
    <col min="2" max="2" width="10.5703125" style="292" hidden="1" customWidth="1"/>
    <col min="3" max="3" width="20" style="294" hidden="1" customWidth="1"/>
    <col min="4" max="4" width="13.42578125" style="1276" customWidth="1"/>
    <col min="5" max="5" width="13.28515625" style="295" customWidth="1"/>
    <col min="6" max="6" width="1" style="295" customWidth="1"/>
    <col min="7" max="7" width="17.42578125" style="634" customWidth="1"/>
    <col min="8" max="8" width="7.85546875" style="634" customWidth="1"/>
    <col min="9" max="9" width="8" style="634" customWidth="1"/>
    <col min="10" max="10" width="11" style="634" customWidth="1"/>
    <col min="11" max="11" width="9.5703125" style="634" bestFit="1" customWidth="1"/>
    <col min="12" max="12" width="6.140625" style="634" customWidth="1"/>
    <col min="13" max="14" width="9.28515625" style="634" customWidth="1"/>
    <col min="15" max="15" width="8.140625" style="634" customWidth="1"/>
    <col min="16" max="16" width="6.140625" style="634" customWidth="1"/>
    <col min="17" max="17" width="7.85546875" style="634" customWidth="1"/>
    <col min="18" max="18" width="9.28515625" style="634" customWidth="1"/>
    <col min="19" max="19" width="7.7109375" style="634" customWidth="1"/>
    <col min="20" max="20" width="7.42578125" style="634" customWidth="1"/>
    <col min="21" max="22" width="9.28515625" style="634" customWidth="1"/>
    <col min="23" max="23" width="5.7109375" style="634" customWidth="1"/>
    <col min="24" max="250" width="9.28515625" style="634" customWidth="1"/>
    <col min="251" max="251" width="51.28515625" style="634" customWidth="1"/>
    <col min="252" max="252" width="10.42578125" style="634" bestFit="1" customWidth="1"/>
    <col min="253" max="253" width="14.42578125" style="634" customWidth="1"/>
    <col min="254" max="254" width="10.7109375" style="634" bestFit="1" customWidth="1"/>
    <col min="255" max="16384" width="13" style="634"/>
  </cols>
  <sheetData>
    <row r="1" spans="1:18" s="1192" customFormat="1" ht="18.75" x14ac:dyDescent="0.3">
      <c r="A1" s="1190" t="s">
        <v>271</v>
      </c>
      <c r="B1" s="268"/>
      <c r="C1" s="269"/>
      <c r="D1" s="1191"/>
      <c r="E1" s="270"/>
      <c r="F1" s="270"/>
      <c r="P1" s="299"/>
      <c r="Q1" s="299"/>
      <c r="R1" s="299"/>
    </row>
    <row r="2" spans="1:18" x14ac:dyDescent="0.25">
      <c r="B2" s="272" t="s">
        <v>272</v>
      </c>
      <c r="C2" s="273" t="s">
        <v>273</v>
      </c>
      <c r="D2" s="1193" t="s">
        <v>11</v>
      </c>
      <c r="E2" s="274"/>
      <c r="F2" s="275"/>
      <c r="H2" s="1150"/>
      <c r="I2" s="1150"/>
      <c r="P2" s="1194"/>
      <c r="Q2" s="1194"/>
      <c r="R2" s="1194"/>
    </row>
    <row r="3" spans="1:18" ht="19.5" x14ac:dyDescent="0.35">
      <c r="A3" s="1195" t="s">
        <v>275</v>
      </c>
      <c r="B3" s="49"/>
      <c r="C3" s="278"/>
      <c r="D3" s="1851">
        <v>31384</v>
      </c>
      <c r="E3" s="280"/>
      <c r="F3" s="281"/>
      <c r="M3" s="1196"/>
      <c r="N3" s="109"/>
      <c r="O3" s="109"/>
      <c r="P3" s="109"/>
      <c r="Q3" s="109"/>
    </row>
    <row r="4" spans="1:18" ht="19.5" x14ac:dyDescent="0.35">
      <c r="A4" s="1197" t="s">
        <v>314</v>
      </c>
      <c r="B4" s="49"/>
      <c r="C4" s="278"/>
      <c r="D4" s="279"/>
      <c r="E4" s="280"/>
      <c r="F4" s="281"/>
      <c r="M4" s="1196"/>
      <c r="N4" s="109"/>
      <c r="O4" s="109"/>
      <c r="P4" s="109"/>
      <c r="Q4" s="109"/>
    </row>
    <row r="5" spans="1:18" ht="15.75" x14ac:dyDescent="0.25">
      <c r="A5" s="1198" t="s">
        <v>276</v>
      </c>
      <c r="B5" s="49"/>
      <c r="C5" s="278"/>
      <c r="D5" s="1348">
        <f>925*12</f>
        <v>11100</v>
      </c>
      <c r="E5" s="280"/>
      <c r="F5" s="281"/>
      <c r="M5" s="1199"/>
      <c r="N5" s="1200"/>
      <c r="O5" s="109"/>
      <c r="P5" s="109"/>
      <c r="Q5" s="109"/>
    </row>
    <row r="6" spans="1:18" ht="17.45" customHeight="1" x14ac:dyDescent="0.25">
      <c r="A6" s="1201" t="s">
        <v>847</v>
      </c>
      <c r="B6" s="49"/>
      <c r="C6" s="278"/>
      <c r="D6" s="279"/>
      <c r="E6" s="280"/>
      <c r="F6" s="281"/>
      <c r="M6" s="1199"/>
      <c r="N6" s="1200"/>
      <c r="O6" s="109"/>
      <c r="P6" s="109"/>
      <c r="Q6" s="109"/>
    </row>
    <row r="7" spans="1:18" ht="13.9" customHeight="1" x14ac:dyDescent="0.25">
      <c r="A7" s="1198" t="s">
        <v>277</v>
      </c>
      <c r="B7" s="49"/>
      <c r="C7" s="278"/>
      <c r="D7" s="1379">
        <f>(289*12)+(650*12)+(315*12)+(112*12)+(80*4)+(60*4)+(954*4)+100+100+100+515</f>
        <v>21583</v>
      </c>
      <c r="E7" s="278"/>
      <c r="F7" s="281"/>
      <c r="M7" s="1200"/>
      <c r="N7" s="1004"/>
      <c r="O7" s="109"/>
      <c r="P7" s="286"/>
      <c r="Q7" s="287"/>
      <c r="R7" s="287"/>
    </row>
    <row r="8" spans="1:18" ht="48.75" customHeight="1" x14ac:dyDescent="0.25">
      <c r="A8" s="1202" t="s">
        <v>873</v>
      </c>
      <c r="B8" s="1203"/>
      <c r="C8" s="1203"/>
      <c r="D8" s="1204"/>
      <c r="E8" s="1204"/>
      <c r="F8" s="1203"/>
      <c r="G8" s="1203"/>
      <c r="H8" s="1203"/>
      <c r="I8" s="1203"/>
      <c r="J8" s="1203"/>
      <c r="K8" s="1203"/>
      <c r="M8" s="1200"/>
      <c r="N8" s="1004"/>
      <c r="O8" s="109"/>
      <c r="P8" s="286"/>
      <c r="Q8" s="287"/>
      <c r="R8" s="287"/>
    </row>
    <row r="9" spans="1:18" ht="15.75" hidden="1" x14ac:dyDescent="0.25">
      <c r="A9" s="1205" t="s">
        <v>279</v>
      </c>
      <c r="B9" s="300"/>
      <c r="C9" s="301"/>
      <c r="D9" s="284"/>
      <c r="E9" s="727"/>
      <c r="F9" s="281"/>
      <c r="M9" s="1200"/>
      <c r="N9" s="1004"/>
      <c r="O9" s="109"/>
      <c r="P9" s="286"/>
      <c r="Q9" s="287"/>
      <c r="R9" s="287"/>
    </row>
    <row r="10" spans="1:18" ht="13.5" hidden="1" x14ac:dyDescent="0.25">
      <c r="A10" s="1206" t="s">
        <v>280</v>
      </c>
      <c r="B10" s="300"/>
      <c r="C10" s="301"/>
      <c r="D10" s="284"/>
      <c r="E10" s="727"/>
      <c r="F10" s="281"/>
      <c r="M10" s="1200"/>
      <c r="N10" s="1004"/>
      <c r="O10" s="109"/>
      <c r="P10" s="286"/>
      <c r="Q10" s="287"/>
      <c r="R10" s="287"/>
    </row>
    <row r="11" spans="1:18" ht="15.75" x14ac:dyDescent="0.25">
      <c r="A11" s="1198" t="s">
        <v>281</v>
      </c>
      <c r="B11" s="49"/>
      <c r="C11" s="278"/>
      <c r="D11" s="1348">
        <f>(11015*7.6%)+(11015)</f>
        <v>11852.14</v>
      </c>
      <c r="E11" s="280"/>
      <c r="F11" s="281"/>
      <c r="M11" s="1200"/>
      <c r="N11" s="1004"/>
      <c r="O11" s="109"/>
      <c r="P11" s="286"/>
      <c r="Q11" s="287"/>
      <c r="R11" s="287"/>
    </row>
    <row r="12" spans="1:18" ht="22.9" customHeight="1" x14ac:dyDescent="0.25">
      <c r="A12" s="1201" t="s">
        <v>848</v>
      </c>
      <c r="B12" s="49"/>
      <c r="C12" s="278"/>
      <c r="D12" s="279"/>
      <c r="E12" s="280"/>
      <c r="F12" s="281"/>
      <c r="M12" s="1200"/>
      <c r="N12" s="1004"/>
      <c r="O12" s="109"/>
      <c r="P12" s="286"/>
      <c r="Q12" s="287"/>
      <c r="R12" s="287"/>
    </row>
    <row r="13" spans="1:18" ht="15.75" x14ac:dyDescent="0.25">
      <c r="A13" s="1198" t="s">
        <v>315</v>
      </c>
      <c r="B13" s="49"/>
      <c r="C13" s="278"/>
      <c r="D13" s="279">
        <f>41271+328</f>
        <v>41599</v>
      </c>
      <c r="E13" s="278"/>
      <c r="F13" s="281"/>
      <c r="M13" s="1200"/>
      <c r="N13" s="1004"/>
      <c r="O13" s="109"/>
      <c r="P13" s="287"/>
      <c r="Q13" s="287"/>
      <c r="R13" s="287"/>
    </row>
    <row r="14" spans="1:18" ht="18" customHeight="1" x14ac:dyDescent="0.25">
      <c r="A14" s="1197" t="s">
        <v>860</v>
      </c>
      <c r="B14" s="49"/>
      <c r="C14" s="278"/>
      <c r="D14" s="279"/>
      <c r="E14" s="278"/>
      <c r="F14" s="281"/>
      <c r="M14" s="1200"/>
      <c r="N14" s="1004"/>
      <c r="O14" s="109"/>
      <c r="P14" s="287"/>
      <c r="Q14" s="287"/>
      <c r="R14" s="287"/>
    </row>
    <row r="15" spans="1:18" ht="15.75" x14ac:dyDescent="0.25">
      <c r="A15" s="1198" t="s">
        <v>283</v>
      </c>
      <c r="B15" s="49"/>
      <c r="C15" s="278"/>
      <c r="D15" s="1348">
        <f>(855.48*4)+(1461.05025*12)+(361*4)+250</f>
        <v>22648.523000000001</v>
      </c>
      <c r="E15" s="278"/>
      <c r="F15" s="281"/>
      <c r="G15" s="634" t="s">
        <v>862</v>
      </c>
      <c r="M15" s="1200"/>
      <c r="N15" s="1004"/>
      <c r="O15" s="109"/>
      <c r="P15" s="287"/>
      <c r="Q15" s="287"/>
      <c r="R15" s="287"/>
    </row>
    <row r="16" spans="1:18" ht="21.6" customHeight="1" x14ac:dyDescent="0.25">
      <c r="A16" s="1201" t="s">
        <v>861</v>
      </c>
      <c r="B16" s="296"/>
      <c r="C16" s="297"/>
      <c r="D16" s="298"/>
      <c r="E16" s="297"/>
      <c r="F16" s="281"/>
      <c r="M16" s="1200"/>
      <c r="N16" s="1004"/>
      <c r="O16" s="109"/>
      <c r="P16" s="287"/>
      <c r="Q16" s="287"/>
      <c r="R16" s="287"/>
    </row>
    <row r="17" spans="1:24" ht="15.75" x14ac:dyDescent="0.25">
      <c r="A17" s="1198" t="s">
        <v>278</v>
      </c>
      <c r="B17" s="49"/>
      <c r="C17" s="278"/>
      <c r="D17" s="1379">
        <f>17000+(17000*7%)</f>
        <v>18190</v>
      </c>
      <c r="E17" s="278"/>
      <c r="F17" s="281"/>
      <c r="M17" s="1200"/>
      <c r="N17" s="1004"/>
      <c r="O17" s="109"/>
      <c r="P17" s="287"/>
      <c r="Q17" s="287"/>
      <c r="R17" s="287"/>
    </row>
    <row r="18" spans="1:24" ht="16.149999999999999" customHeight="1" x14ac:dyDescent="0.25">
      <c r="A18" s="1197" t="s">
        <v>849</v>
      </c>
      <c r="B18" s="49"/>
      <c r="C18" s="278"/>
      <c r="D18" s="298"/>
      <c r="E18" s="278"/>
      <c r="F18" s="281"/>
      <c r="M18" s="1200"/>
      <c r="N18" s="1004"/>
      <c r="O18" s="109"/>
      <c r="P18" s="287"/>
      <c r="Q18" s="287"/>
      <c r="R18" s="287"/>
    </row>
    <row r="19" spans="1:24" ht="24.75" x14ac:dyDescent="0.25">
      <c r="A19" s="1207" t="s">
        <v>850</v>
      </c>
      <c r="B19" s="49"/>
      <c r="C19" s="278"/>
      <c r="D19" s="1348">
        <f>(160*12)+2900</f>
        <v>4820</v>
      </c>
      <c r="E19" s="278"/>
      <c r="F19" s="281"/>
      <c r="M19" s="1200"/>
      <c r="N19" s="1004"/>
      <c r="O19" s="109"/>
      <c r="P19" s="287"/>
      <c r="Q19" s="287"/>
      <c r="R19" s="287"/>
    </row>
    <row r="20" spans="1:24" ht="24.75" x14ac:dyDescent="0.25">
      <c r="A20" s="1207" t="s">
        <v>644</v>
      </c>
      <c r="B20" s="49"/>
      <c r="C20" s="278"/>
      <c r="D20" s="298"/>
      <c r="E20" s="278"/>
      <c r="F20" s="281"/>
      <c r="M20" s="1200"/>
      <c r="N20" s="1004"/>
      <c r="O20" s="109"/>
      <c r="P20" s="287"/>
      <c r="Q20" s="287"/>
      <c r="R20" s="287"/>
    </row>
    <row r="21" spans="1:24" ht="23.45" customHeight="1" x14ac:dyDescent="0.25">
      <c r="A21" s="1198" t="s">
        <v>284</v>
      </c>
      <c r="B21" s="49"/>
      <c r="C21" s="278"/>
      <c r="D21" s="1348">
        <f>1000+(50*12)+13860</f>
        <v>15460</v>
      </c>
      <c r="E21" s="278"/>
      <c r="F21" s="281"/>
      <c r="G21" s="634" t="s">
        <v>680</v>
      </c>
      <c r="M21" s="1200"/>
      <c r="N21" s="1004"/>
      <c r="O21" s="109"/>
      <c r="P21" s="287"/>
      <c r="Q21" s="287"/>
      <c r="R21" s="287"/>
    </row>
    <row r="22" spans="1:24" ht="26.25" customHeight="1" x14ac:dyDescent="0.25">
      <c r="A22" s="1201" t="s">
        <v>874</v>
      </c>
      <c r="B22" s="49"/>
      <c r="C22" s="278"/>
      <c r="D22" s="279"/>
      <c r="E22" s="278"/>
      <c r="F22" s="281"/>
      <c r="M22" s="1200"/>
      <c r="N22" s="1004"/>
      <c r="O22" s="109"/>
      <c r="P22" s="287"/>
      <c r="Q22" s="287"/>
      <c r="R22" s="287"/>
    </row>
    <row r="23" spans="1:24" ht="18" customHeight="1" x14ac:dyDescent="0.25">
      <c r="A23" s="1198" t="s">
        <v>282</v>
      </c>
      <c r="B23" s="49"/>
      <c r="C23" s="278"/>
      <c r="D23" s="1348">
        <f>796*12</f>
        <v>9552</v>
      </c>
      <c r="E23" s="278"/>
      <c r="F23" s="281"/>
      <c r="M23" s="1200"/>
      <c r="N23" s="1004"/>
      <c r="O23" s="109"/>
      <c r="P23" s="287"/>
      <c r="Q23" s="287"/>
      <c r="R23" s="287"/>
    </row>
    <row r="24" spans="1:24" ht="16.5" thickBot="1" x14ac:dyDescent="0.3">
      <c r="A24" s="1197" t="s">
        <v>846</v>
      </c>
      <c r="B24" s="49"/>
      <c r="C24" s="278"/>
      <c r="D24" s="279"/>
      <c r="E24" s="278"/>
      <c r="F24" s="281"/>
      <c r="M24" s="1200"/>
      <c r="N24" s="1004"/>
      <c r="O24" s="109"/>
      <c r="P24" s="287"/>
      <c r="Q24" s="287"/>
      <c r="R24" s="287"/>
    </row>
    <row r="25" spans="1:24" ht="17.25" thickTop="1" thickBot="1" x14ac:dyDescent="0.3">
      <c r="A25" s="1208"/>
      <c r="B25" s="1209"/>
      <c r="C25" s="1210"/>
      <c r="D25" s="1211"/>
      <c r="E25" s="1212">
        <f>SUM(D3:D24)</f>
        <v>188188.663</v>
      </c>
      <c r="F25" s="281"/>
      <c r="M25" s="1200"/>
      <c r="N25" s="1004"/>
      <c r="O25" s="109"/>
      <c r="P25" s="287"/>
      <c r="Q25" s="287"/>
      <c r="R25" s="287"/>
    </row>
    <row r="26" spans="1:24" ht="15.75" x14ac:dyDescent="0.25">
      <c r="A26" s="1213" t="s">
        <v>286</v>
      </c>
      <c r="B26" s="64"/>
      <c r="C26" s="289"/>
      <c r="D26" s="1348"/>
      <c r="E26" s="290"/>
      <c r="F26" s="288"/>
      <c r="G26" s="1887" t="s">
        <v>285</v>
      </c>
      <c r="H26" s="1887"/>
      <c r="I26" s="1887"/>
      <c r="J26" s="1887"/>
      <c r="K26" s="1887"/>
      <c r="L26" s="634" t="s">
        <v>547</v>
      </c>
      <c r="M26" s="634" t="s">
        <v>553</v>
      </c>
      <c r="N26" s="634" t="s">
        <v>581</v>
      </c>
      <c r="O26" s="634" t="s">
        <v>582</v>
      </c>
      <c r="P26" s="634" t="s">
        <v>556</v>
      </c>
      <c r="Q26" s="634" t="s">
        <v>563</v>
      </c>
      <c r="R26" s="634" t="s">
        <v>544</v>
      </c>
      <c r="S26" s="634" t="s">
        <v>583</v>
      </c>
      <c r="T26" s="634" t="s">
        <v>584</v>
      </c>
      <c r="U26" s="634" t="s">
        <v>546</v>
      </c>
      <c r="V26" s="634" t="s">
        <v>570</v>
      </c>
      <c r="W26" s="634" t="s">
        <v>585</v>
      </c>
    </row>
    <row r="27" spans="1:24" x14ac:dyDescent="0.25">
      <c r="A27" s="1198" t="s">
        <v>287</v>
      </c>
      <c r="B27" s="49"/>
      <c r="C27" s="65"/>
      <c r="D27" s="1348">
        <f>(2300*30%)+2300+10</f>
        <v>3000</v>
      </c>
      <c r="E27" s="278"/>
      <c r="F27" s="281"/>
      <c r="G27" s="1214" t="s">
        <v>843</v>
      </c>
      <c r="H27" s="1215">
        <v>7</v>
      </c>
      <c r="I27" s="1216">
        <f>H27*4</f>
        <v>28</v>
      </c>
      <c r="J27" s="821">
        <v>750</v>
      </c>
      <c r="K27" s="819">
        <f t="shared" ref="K27:K32" si="0">(I27*J27)</f>
        <v>21000</v>
      </c>
      <c r="L27" s="1217"/>
      <c r="M27" s="1218">
        <f>H27*J27</f>
        <v>5250</v>
      </c>
      <c r="N27" s="1217"/>
      <c r="O27" s="1218">
        <f>H27*J27</f>
        <v>5250</v>
      </c>
      <c r="P27" s="1217"/>
      <c r="Q27" s="1217"/>
      <c r="R27" s="1218">
        <f>H27*J27</f>
        <v>5250</v>
      </c>
      <c r="S27" s="1217"/>
      <c r="T27" s="1217"/>
      <c r="U27" s="1218">
        <f>H27*J27</f>
        <v>5250</v>
      </c>
      <c r="V27" s="1217"/>
      <c r="W27" s="1217"/>
      <c r="X27" s="1219">
        <f t="shared" ref="X27:X32" si="1">SUM(L27:W27)</f>
        <v>21000</v>
      </c>
    </row>
    <row r="28" spans="1:24" x14ac:dyDescent="0.25">
      <c r="A28" s="1220" t="s">
        <v>875</v>
      </c>
      <c r="B28" s="49"/>
      <c r="C28" s="65"/>
      <c r="D28" s="279"/>
      <c r="E28" s="278"/>
      <c r="F28" s="281"/>
      <c r="G28" s="1214" t="s">
        <v>586</v>
      </c>
      <c r="H28" s="1215">
        <v>3</v>
      </c>
      <c r="I28" s="1216">
        <f>H28*3</f>
        <v>9</v>
      </c>
      <c r="J28" s="820">
        <v>2000</v>
      </c>
      <c r="K28" s="922">
        <f t="shared" si="0"/>
        <v>18000</v>
      </c>
      <c r="L28" s="1217"/>
      <c r="M28" s="1217"/>
      <c r="N28" s="1218">
        <f>H28*J28</f>
        <v>6000</v>
      </c>
      <c r="O28" s="1217"/>
      <c r="P28" s="1217"/>
      <c r="Q28" s="1218">
        <f>H28*J28</f>
        <v>6000</v>
      </c>
      <c r="R28" s="1217"/>
      <c r="S28" s="1217"/>
      <c r="T28" s="1217"/>
      <c r="U28" s="1217"/>
      <c r="V28" s="1218">
        <f>H28*J28</f>
        <v>6000</v>
      </c>
      <c r="W28" s="1217"/>
      <c r="X28" s="1219">
        <f t="shared" si="1"/>
        <v>18000</v>
      </c>
    </row>
    <row r="29" spans="1:24" ht="26.25" x14ac:dyDescent="0.25">
      <c r="A29" s="1198" t="s">
        <v>285</v>
      </c>
      <c r="B29" s="49"/>
      <c r="C29" s="65"/>
      <c r="D29" s="1348">
        <f>K35</f>
        <v>55050</v>
      </c>
      <c r="E29" s="278"/>
      <c r="F29" s="303"/>
      <c r="G29" s="1221" t="s">
        <v>587</v>
      </c>
      <c r="H29" s="1215">
        <v>1</v>
      </c>
      <c r="I29" s="1216">
        <f>4*1</f>
        <v>4</v>
      </c>
      <c r="J29" s="819">
        <v>1250</v>
      </c>
      <c r="K29" s="922">
        <f t="shared" si="0"/>
        <v>5000</v>
      </c>
      <c r="L29" s="1222"/>
      <c r="M29" s="1223">
        <f>H29*J29</f>
        <v>1250</v>
      </c>
      <c r="N29" s="1217"/>
      <c r="O29" s="1218">
        <f>H29*J29</f>
        <v>1250</v>
      </c>
      <c r="P29" s="1217"/>
      <c r="Q29" s="1217"/>
      <c r="R29" s="1218">
        <f>H29*J29</f>
        <v>1250</v>
      </c>
      <c r="S29" s="1217"/>
      <c r="T29" s="1217"/>
      <c r="U29" s="1218">
        <f>H29*J29</f>
        <v>1250</v>
      </c>
      <c r="V29" s="1217"/>
      <c r="W29" s="1217"/>
      <c r="X29" s="1219">
        <f t="shared" si="1"/>
        <v>5000</v>
      </c>
    </row>
    <row r="30" spans="1:24" ht="26.25" x14ac:dyDescent="0.25">
      <c r="A30" s="1224" t="s">
        <v>288</v>
      </c>
      <c r="B30" s="49"/>
      <c r="C30" s="65"/>
      <c r="D30" s="279"/>
      <c r="E30" s="278"/>
      <c r="F30" s="303"/>
      <c r="G30" s="1221" t="s">
        <v>588</v>
      </c>
      <c r="H30" s="1215">
        <v>1</v>
      </c>
      <c r="I30" s="1216">
        <f>3*1</f>
        <v>3</v>
      </c>
      <c r="J30" s="819">
        <v>2200</v>
      </c>
      <c r="K30" s="922">
        <f t="shared" si="0"/>
        <v>6600</v>
      </c>
      <c r="L30" s="1204"/>
      <c r="M30" s="1204"/>
      <c r="N30" s="1218">
        <f>H30*J30</f>
        <v>2200</v>
      </c>
      <c r="O30" s="1217"/>
      <c r="P30" s="1217"/>
      <c r="Q30" s="1218">
        <f>H30*J30</f>
        <v>2200</v>
      </c>
      <c r="R30" s="1217"/>
      <c r="S30" s="1217"/>
      <c r="T30" s="1217"/>
      <c r="U30" s="1218"/>
      <c r="V30" s="1218">
        <f>H30*J30</f>
        <v>2200</v>
      </c>
      <c r="W30" s="1217"/>
      <c r="X30" s="1219">
        <f t="shared" si="1"/>
        <v>6600</v>
      </c>
    </row>
    <row r="31" spans="1:24" ht="31.5" customHeight="1" x14ac:dyDescent="0.25">
      <c r="A31" s="1198" t="s">
        <v>289</v>
      </c>
      <c r="B31" s="49"/>
      <c r="C31" s="65"/>
      <c r="D31" s="1348">
        <f>K50</f>
        <v>34550</v>
      </c>
      <c r="E31" s="278"/>
      <c r="F31" s="303"/>
      <c r="G31" s="1221" t="s">
        <v>589</v>
      </c>
      <c r="H31" s="1215">
        <v>1</v>
      </c>
      <c r="I31" s="1216">
        <f>H31*4</f>
        <v>4</v>
      </c>
      <c r="J31" s="819">
        <v>350</v>
      </c>
      <c r="K31" s="922">
        <f t="shared" si="0"/>
        <v>1400</v>
      </c>
      <c r="L31" s="1204"/>
      <c r="M31" s="1218">
        <f>H31*J31</f>
        <v>350</v>
      </c>
      <c r="N31" s="1217"/>
      <c r="O31" s="1218">
        <f>H31*J31</f>
        <v>350</v>
      </c>
      <c r="P31" s="1217"/>
      <c r="Q31" s="1217"/>
      <c r="R31" s="1218">
        <f>H31*J31</f>
        <v>350</v>
      </c>
      <c r="S31" s="1217"/>
      <c r="T31" s="1217"/>
      <c r="U31" s="1218">
        <f>H31*J31</f>
        <v>350</v>
      </c>
      <c r="V31" s="1217"/>
      <c r="W31" s="1217"/>
      <c r="X31" s="1219">
        <f t="shared" si="1"/>
        <v>1400</v>
      </c>
    </row>
    <row r="32" spans="1:24" ht="26.25" x14ac:dyDescent="0.25">
      <c r="A32" s="1224" t="s">
        <v>288</v>
      </c>
      <c r="B32" s="49"/>
      <c r="C32" s="65"/>
      <c r="D32" s="279"/>
      <c r="E32" s="278"/>
      <c r="F32" s="303"/>
      <c r="G32" s="1221" t="s">
        <v>590</v>
      </c>
      <c r="H32" s="1215">
        <v>1</v>
      </c>
      <c r="I32" s="1216">
        <f>H32*3</f>
        <v>3</v>
      </c>
      <c r="J32" s="819">
        <v>350</v>
      </c>
      <c r="K32" s="922">
        <f t="shared" si="0"/>
        <v>1050</v>
      </c>
      <c r="L32" s="1204"/>
      <c r="M32" s="1204"/>
      <c r="N32" s="1218">
        <f>H32*J32</f>
        <v>350</v>
      </c>
      <c r="O32" s="1217"/>
      <c r="P32" s="1217"/>
      <c r="Q32" s="1218">
        <f>H32*J32</f>
        <v>350</v>
      </c>
      <c r="R32" s="1217"/>
      <c r="S32" s="1217"/>
      <c r="T32" s="1217"/>
      <c r="U32" s="1217"/>
      <c r="V32" s="1218">
        <f>H32*J32</f>
        <v>350</v>
      </c>
      <c r="W32" s="1217"/>
      <c r="X32" s="1219">
        <f t="shared" si="1"/>
        <v>1050</v>
      </c>
    </row>
    <row r="33" spans="1:24" x14ac:dyDescent="0.25">
      <c r="A33" s="1198" t="s">
        <v>290</v>
      </c>
      <c r="B33" s="49"/>
      <c r="C33" s="49"/>
      <c r="D33" s="279">
        <f>(200*12)</f>
        <v>2400</v>
      </c>
      <c r="E33" s="278"/>
      <c r="F33" s="303"/>
      <c r="G33" s="1225" t="s">
        <v>292</v>
      </c>
      <c r="H33" s="1226">
        <v>1</v>
      </c>
      <c r="I33" s="1227">
        <f>H33*1</f>
        <v>1</v>
      </c>
      <c r="J33" s="821">
        <v>2000</v>
      </c>
      <c r="K33" s="923">
        <f>I33*J33</f>
        <v>2000</v>
      </c>
      <c r="L33" s="1204"/>
      <c r="M33" s="1204"/>
      <c r="N33" s="1218">
        <f>J33</f>
        <v>2000</v>
      </c>
      <c r="O33" s="1217"/>
      <c r="P33" s="1217"/>
      <c r="Q33" s="1217"/>
      <c r="R33" s="1217"/>
      <c r="S33" s="1217"/>
      <c r="T33" s="1217"/>
      <c r="U33" s="1217"/>
      <c r="V33" s="1217"/>
      <c r="W33" s="1217"/>
      <c r="X33" s="1219">
        <f>SUM(L33:W33)</f>
        <v>2000</v>
      </c>
    </row>
    <row r="34" spans="1:24" x14ac:dyDescent="0.25">
      <c r="A34" s="1220" t="s">
        <v>591</v>
      </c>
      <c r="B34" s="49"/>
      <c r="C34" s="49"/>
      <c r="D34" s="279"/>
      <c r="E34" s="278"/>
      <c r="F34" s="303"/>
      <c r="G34" s="1214" t="s">
        <v>293</v>
      </c>
      <c r="H34" s="1215"/>
      <c r="I34" s="1216">
        <f>H34*4</f>
        <v>0</v>
      </c>
      <c r="J34" s="819"/>
      <c r="K34" s="922">
        <f>(I34*J34)</f>
        <v>0</v>
      </c>
      <c r="L34" s="1204"/>
      <c r="M34" s="1204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9">
        <f t="shared" ref="X34:X35" si="2">SUM(L34:W34)</f>
        <v>0</v>
      </c>
    </row>
    <row r="35" spans="1:24" x14ac:dyDescent="0.25">
      <c r="A35" s="1198" t="s">
        <v>291</v>
      </c>
      <c r="B35" s="49"/>
      <c r="C35" s="49"/>
      <c r="D35" s="1348">
        <f>(225*12)+200+(3500*12)</f>
        <v>44900</v>
      </c>
      <c r="E35" s="278"/>
      <c r="F35" s="303"/>
      <c r="G35" s="1228" t="s">
        <v>11</v>
      </c>
      <c r="H35" s="1229"/>
      <c r="I35" s="1229"/>
      <c r="J35" s="1230"/>
      <c r="K35" s="1231">
        <f>SUM(K27:K34)</f>
        <v>55050</v>
      </c>
      <c r="L35" s="1204"/>
      <c r="M35" s="1204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9">
        <f t="shared" si="2"/>
        <v>0</v>
      </c>
    </row>
    <row r="36" spans="1:24" x14ac:dyDescent="0.25">
      <c r="A36" s="1220" t="s">
        <v>851</v>
      </c>
      <c r="B36" s="49"/>
      <c r="C36" s="49"/>
      <c r="D36" s="279"/>
      <c r="E36" s="278"/>
      <c r="F36" s="303"/>
      <c r="G36" s="1232"/>
      <c r="H36" s="1233"/>
      <c r="I36" s="1233"/>
      <c r="J36" s="1233"/>
      <c r="K36" s="1233"/>
      <c r="L36" s="1203"/>
      <c r="M36" s="1234">
        <f>SUM(M27:M35)</f>
        <v>6850</v>
      </c>
      <c r="N36" s="1234">
        <f t="shared" ref="N36:V36" si="3">SUM(N27:N35)</f>
        <v>10550</v>
      </c>
      <c r="O36" s="1234">
        <f t="shared" si="3"/>
        <v>6850</v>
      </c>
      <c r="P36" s="1234">
        <f t="shared" si="3"/>
        <v>0</v>
      </c>
      <c r="Q36" s="1234">
        <f t="shared" si="3"/>
        <v>8550</v>
      </c>
      <c r="R36" s="1234">
        <f t="shared" si="3"/>
        <v>6850</v>
      </c>
      <c r="S36" s="1234">
        <f t="shared" si="3"/>
        <v>0</v>
      </c>
      <c r="T36" s="1234">
        <f t="shared" si="3"/>
        <v>0</v>
      </c>
      <c r="U36" s="1234">
        <f t="shared" si="3"/>
        <v>6850</v>
      </c>
      <c r="V36" s="1234">
        <f t="shared" si="3"/>
        <v>8550</v>
      </c>
      <c r="X36" s="1219">
        <f>SUM(X27:X35)</f>
        <v>55050</v>
      </c>
    </row>
    <row r="37" spans="1:24" x14ac:dyDescent="0.25">
      <c r="A37" s="1235" t="s">
        <v>316</v>
      </c>
      <c r="B37" s="296"/>
      <c r="C37" s="296"/>
      <c r="D37" s="1379">
        <f>(1500*4)+(300*4)</f>
        <v>7200</v>
      </c>
      <c r="E37" s="297"/>
      <c r="F37" s="303"/>
      <c r="G37" s="1888" t="s">
        <v>289</v>
      </c>
      <c r="H37" s="1888"/>
      <c r="I37" s="1888"/>
      <c r="J37" s="1888"/>
      <c r="K37" s="1888"/>
      <c r="L37" s="925"/>
      <c r="M37" s="1203"/>
    </row>
    <row r="38" spans="1:24" x14ac:dyDescent="0.25">
      <c r="A38" s="1236" t="s">
        <v>317</v>
      </c>
      <c r="B38" s="296"/>
      <c r="C38" s="308"/>
      <c r="D38" s="298"/>
      <c r="E38" s="297"/>
      <c r="F38" s="303"/>
      <c r="G38" s="1214" t="s">
        <v>296</v>
      </c>
      <c r="H38" s="1215">
        <v>1</v>
      </c>
      <c r="I38" s="1216">
        <v>4</v>
      </c>
      <c r="J38" s="819">
        <v>1500</v>
      </c>
      <c r="K38" s="922">
        <f t="shared" ref="K38:K49" si="4">+I38*J38</f>
        <v>6000</v>
      </c>
      <c r="L38" s="924"/>
      <c r="M38" s="1218">
        <f>H38*J38</f>
        <v>1500</v>
      </c>
      <c r="N38" s="1217"/>
      <c r="O38" s="1218">
        <f>H38*J38</f>
        <v>1500</v>
      </c>
      <c r="P38" s="1217"/>
      <c r="Q38" s="1217"/>
      <c r="R38" s="1218">
        <f>H38*J38</f>
        <v>1500</v>
      </c>
      <c r="S38" s="1217"/>
      <c r="T38" s="1217"/>
      <c r="U38" s="1218">
        <f>H38*J38</f>
        <v>1500</v>
      </c>
      <c r="V38" s="1218"/>
      <c r="W38" s="1217"/>
      <c r="X38" s="1219">
        <f>SUM(L38:W38)</f>
        <v>6000</v>
      </c>
    </row>
    <row r="39" spans="1:24" ht="15.75" thickBot="1" x14ac:dyDescent="0.3">
      <c r="A39" s="1237"/>
      <c r="B39" s="718"/>
      <c r="C39" s="719"/>
      <c r="D39" s="1238"/>
      <c r="E39" s="720">
        <f>SUM(D27:D38)</f>
        <v>147100</v>
      </c>
      <c r="F39" s="303"/>
      <c r="G39" s="1214" t="s">
        <v>297</v>
      </c>
      <c r="H39" s="1215">
        <v>1</v>
      </c>
      <c r="I39" s="1216">
        <v>3</v>
      </c>
      <c r="J39" s="819">
        <v>2500</v>
      </c>
      <c r="K39" s="922">
        <f t="shared" si="4"/>
        <v>7500</v>
      </c>
      <c r="L39" s="924"/>
      <c r="M39" s="1204"/>
      <c r="N39" s="1218">
        <f>H39*J39</f>
        <v>2500</v>
      </c>
      <c r="O39" s="1217"/>
      <c r="P39" s="1217"/>
      <c r="Q39" s="1218">
        <f>H39*J39</f>
        <v>2500</v>
      </c>
      <c r="R39" s="1217"/>
      <c r="S39" s="1217"/>
      <c r="T39" s="1217"/>
      <c r="U39" s="1217"/>
      <c r="V39" s="1218">
        <f>H39*J39</f>
        <v>2500</v>
      </c>
      <c r="W39" s="1217"/>
      <c r="X39" s="1219">
        <f t="shared" ref="X39:X49" si="5">SUM(L39:W39)</f>
        <v>7500</v>
      </c>
    </row>
    <row r="40" spans="1:24" ht="16.5" thickTop="1" x14ac:dyDescent="0.25">
      <c r="A40" s="1239" t="s">
        <v>294</v>
      </c>
      <c r="B40" s="316"/>
      <c r="C40" s="317"/>
      <c r="D40" s="1240"/>
      <c r="E40" s="318"/>
      <c r="F40" s="303"/>
      <c r="G40" s="1214" t="s">
        <v>298</v>
      </c>
      <c r="H40" s="1215">
        <v>1</v>
      </c>
      <c r="I40" s="1216">
        <v>3</v>
      </c>
      <c r="J40" s="819">
        <v>750</v>
      </c>
      <c r="K40" s="922">
        <f t="shared" si="4"/>
        <v>2250</v>
      </c>
      <c r="L40" s="1222"/>
      <c r="M40" s="1218"/>
      <c r="N40" s="1217"/>
      <c r="O40" s="1218">
        <f>H40*J40</f>
        <v>750</v>
      </c>
      <c r="P40" s="1217"/>
      <c r="Q40" s="1217"/>
      <c r="R40" s="1218">
        <f>H40*J40</f>
        <v>750</v>
      </c>
      <c r="S40" s="1217"/>
      <c r="T40" s="1217"/>
      <c r="U40" s="1218">
        <f>H40*J40</f>
        <v>750</v>
      </c>
      <c r="V40" s="1217"/>
      <c r="W40" s="1217"/>
      <c r="X40" s="1219">
        <f t="shared" si="5"/>
        <v>2250</v>
      </c>
    </row>
    <row r="41" spans="1:24" ht="24.75" x14ac:dyDescent="0.25">
      <c r="A41" s="1241" t="s">
        <v>295</v>
      </c>
      <c r="B41" s="49"/>
      <c r="C41" s="49"/>
      <c r="D41" s="1348">
        <f>1000+395+200+32+(43*12)+(80*12)+105+986+375+225+(30*12)+130+(32*12)+80</f>
        <v>5748</v>
      </c>
      <c r="E41" s="278"/>
      <c r="F41" s="303"/>
      <c r="G41" s="1214" t="s">
        <v>300</v>
      </c>
      <c r="H41" s="1215">
        <v>1</v>
      </c>
      <c r="I41" s="1216">
        <v>1</v>
      </c>
      <c r="J41" s="819">
        <v>1000</v>
      </c>
      <c r="K41" s="922">
        <f t="shared" si="4"/>
        <v>1000</v>
      </c>
      <c r="L41" s="924"/>
      <c r="M41" s="1204"/>
      <c r="N41" s="1217"/>
      <c r="O41" s="1217"/>
      <c r="P41" s="1217"/>
      <c r="Q41" s="1217"/>
      <c r="R41" s="1217"/>
      <c r="S41" s="1218">
        <f>H41*J41</f>
        <v>1000</v>
      </c>
      <c r="T41" s="1217"/>
      <c r="U41" s="1217"/>
      <c r="V41" s="1217"/>
      <c r="W41" s="1217"/>
      <c r="X41" s="1219">
        <f t="shared" si="5"/>
        <v>1000</v>
      </c>
    </row>
    <row r="42" spans="1:24" ht="24" x14ac:dyDescent="0.25">
      <c r="A42" s="1241" t="s">
        <v>853</v>
      </c>
      <c r="B42" s="49"/>
      <c r="C42" s="49"/>
      <c r="D42" s="279"/>
      <c r="E42" s="278"/>
      <c r="F42" s="303"/>
      <c r="G42" s="1225" t="s">
        <v>301</v>
      </c>
      <c r="H42" s="1226">
        <v>2</v>
      </c>
      <c r="I42" s="1227">
        <v>6</v>
      </c>
      <c r="J42" s="821">
        <v>750</v>
      </c>
      <c r="K42" s="923">
        <f t="shared" si="4"/>
        <v>4500</v>
      </c>
      <c r="L42" s="924"/>
      <c r="M42" s="1218">
        <f>H42*J42</f>
        <v>1500</v>
      </c>
      <c r="N42" s="1217"/>
      <c r="O42" s="1218"/>
      <c r="P42" s="1217"/>
      <c r="Q42" s="1217"/>
      <c r="R42" s="1218">
        <f>H42*J42</f>
        <v>1500</v>
      </c>
      <c r="S42" s="1217"/>
      <c r="T42" s="1217"/>
      <c r="U42" s="1218">
        <f>H42*J42</f>
        <v>1500</v>
      </c>
      <c r="V42" s="1217"/>
      <c r="W42" s="1217"/>
      <c r="X42" s="1219">
        <f t="shared" si="5"/>
        <v>4500</v>
      </c>
    </row>
    <row r="43" spans="1:24" ht="26.25" x14ac:dyDescent="0.25">
      <c r="A43" s="1241" t="s">
        <v>854</v>
      </c>
      <c r="B43" s="49"/>
      <c r="C43" s="49"/>
      <c r="D43" s="279"/>
      <c r="E43" s="278"/>
      <c r="F43" s="303"/>
      <c r="G43" s="1242" t="s">
        <v>844</v>
      </c>
      <c r="H43" s="1243">
        <v>2</v>
      </c>
      <c r="I43" s="1227">
        <v>2</v>
      </c>
      <c r="J43" s="821">
        <v>2000</v>
      </c>
      <c r="K43" s="923">
        <f t="shared" si="4"/>
        <v>4000</v>
      </c>
      <c r="L43" s="1204"/>
      <c r="M43" s="1204"/>
      <c r="N43" s="1218">
        <f>H43*J43</f>
        <v>4000</v>
      </c>
      <c r="O43" s="1217"/>
      <c r="P43" s="1217"/>
      <c r="Q43" s="1217"/>
      <c r="R43" s="1217"/>
      <c r="S43" s="1217"/>
      <c r="T43" s="1217"/>
      <c r="U43" s="1217"/>
      <c r="V43" s="1217"/>
      <c r="W43" s="1217"/>
      <c r="X43" s="1219">
        <f t="shared" si="5"/>
        <v>4000</v>
      </c>
    </row>
    <row r="44" spans="1:24" ht="24.75" x14ac:dyDescent="0.25">
      <c r="A44" s="1241" t="s">
        <v>852</v>
      </c>
      <c r="B44" s="49"/>
      <c r="C44" s="49"/>
      <c r="D44" s="279"/>
      <c r="E44" s="278"/>
      <c r="F44" s="303"/>
      <c r="G44" s="1214" t="s">
        <v>303</v>
      </c>
      <c r="H44" s="1215">
        <v>2</v>
      </c>
      <c r="I44" s="1216">
        <v>2</v>
      </c>
      <c r="J44" s="819">
        <v>2750</v>
      </c>
      <c r="K44" s="923">
        <f t="shared" si="4"/>
        <v>5500</v>
      </c>
      <c r="L44" s="1204"/>
      <c r="M44" s="1223"/>
      <c r="N44" s="1218">
        <f>K44</f>
        <v>5500</v>
      </c>
      <c r="O44" s="1217"/>
      <c r="P44" s="1217"/>
      <c r="Q44" s="1217"/>
      <c r="R44" s="1217"/>
      <c r="S44" s="1217"/>
      <c r="T44" s="1217"/>
      <c r="U44" s="1217"/>
      <c r="V44" s="1217"/>
      <c r="W44" s="1217"/>
      <c r="X44" s="1219">
        <f t="shared" si="5"/>
        <v>5500</v>
      </c>
    </row>
    <row r="45" spans="1:24" x14ac:dyDescent="0.25">
      <c r="A45" s="1235" t="s">
        <v>473</v>
      </c>
      <c r="B45" s="310"/>
      <c r="C45" s="310"/>
      <c r="D45" s="1348">
        <f>(9200*7%)+9200</f>
        <v>9844</v>
      </c>
      <c r="E45" s="297"/>
      <c r="F45" s="303"/>
      <c r="G45" s="1225" t="s">
        <v>304</v>
      </c>
      <c r="H45" s="1226">
        <v>2</v>
      </c>
      <c r="I45" s="1227">
        <v>2</v>
      </c>
      <c r="J45" s="821">
        <v>1000</v>
      </c>
      <c r="K45" s="923">
        <f t="shared" si="4"/>
        <v>2000</v>
      </c>
      <c r="L45" s="1204"/>
      <c r="M45" s="1204"/>
      <c r="N45" s="1217"/>
      <c r="O45" s="1217"/>
      <c r="P45" s="1217"/>
      <c r="Q45" s="1217"/>
      <c r="R45" s="1218">
        <f>H45*J45</f>
        <v>2000</v>
      </c>
      <c r="S45" s="1217"/>
      <c r="T45" s="1217"/>
      <c r="U45" s="1217"/>
      <c r="V45" s="1217"/>
      <c r="W45" s="1217"/>
      <c r="X45" s="1219">
        <f t="shared" si="5"/>
        <v>2000</v>
      </c>
    </row>
    <row r="46" spans="1:24" x14ac:dyDescent="0.25">
      <c r="A46" s="1244" t="s">
        <v>857</v>
      </c>
      <c r="B46" s="310"/>
      <c r="C46" s="310"/>
      <c r="D46" s="298"/>
      <c r="E46" s="297"/>
      <c r="F46" s="303"/>
      <c r="G46" s="1214" t="s">
        <v>306</v>
      </c>
      <c r="H46" s="1215">
        <v>1</v>
      </c>
      <c r="I46" s="1216">
        <v>0</v>
      </c>
      <c r="J46" s="819">
        <v>1000</v>
      </c>
      <c r="K46" s="922">
        <f t="shared" si="4"/>
        <v>0</v>
      </c>
      <c r="L46" s="1204"/>
      <c r="M46" s="1204"/>
      <c r="N46" s="1217"/>
      <c r="O46" s="1217"/>
      <c r="P46" s="1217"/>
      <c r="Q46" s="1217"/>
      <c r="R46" s="1217"/>
      <c r="S46" s="1217"/>
      <c r="T46" s="1217"/>
      <c r="U46" s="1217"/>
      <c r="V46" s="1217"/>
      <c r="W46" s="1217"/>
      <c r="X46" s="1219">
        <f t="shared" si="5"/>
        <v>0</v>
      </c>
    </row>
    <row r="47" spans="1:24" x14ac:dyDescent="0.25">
      <c r="A47" s="1277" t="s">
        <v>329</v>
      </c>
      <c r="B47" s="733"/>
      <c r="C47" s="733"/>
      <c r="D47" s="1348">
        <f>20000+3500+(1000*12)</f>
        <v>35500</v>
      </c>
      <c r="E47" s="278"/>
      <c r="F47" s="303"/>
      <c r="G47" s="1214" t="s">
        <v>580</v>
      </c>
      <c r="H47" s="1215">
        <v>1</v>
      </c>
      <c r="I47" s="1216">
        <v>1</v>
      </c>
      <c r="J47" s="819">
        <v>600</v>
      </c>
      <c r="K47" s="922">
        <f t="shared" si="4"/>
        <v>600</v>
      </c>
      <c r="L47" s="1204"/>
      <c r="M47" s="1204"/>
      <c r="N47" s="1217"/>
      <c r="O47" s="1217"/>
      <c r="P47" s="1217"/>
      <c r="Q47" s="1217"/>
      <c r="R47" s="1217"/>
      <c r="S47" s="1218">
        <f>H47*J47</f>
        <v>600</v>
      </c>
      <c r="T47" s="1217"/>
      <c r="U47" s="1217"/>
      <c r="V47" s="1217"/>
      <c r="W47" s="1217"/>
      <c r="X47" s="1219">
        <f t="shared" si="5"/>
        <v>600</v>
      </c>
    </row>
    <row r="48" spans="1:24" ht="26.25" x14ac:dyDescent="0.25">
      <c r="A48" s="1347" t="s">
        <v>855</v>
      </c>
      <c r="B48" s="733"/>
      <c r="C48" s="733"/>
      <c r="D48" s="279"/>
      <c r="E48" s="278"/>
      <c r="F48" s="303"/>
      <c r="G48" s="1221" t="s">
        <v>845</v>
      </c>
      <c r="H48" s="1245">
        <v>1</v>
      </c>
      <c r="I48" s="1246">
        <v>1</v>
      </c>
      <c r="J48" s="1246">
        <v>1200</v>
      </c>
      <c r="K48" s="922">
        <f t="shared" si="4"/>
        <v>1200</v>
      </c>
      <c r="L48" s="1204"/>
      <c r="M48" s="1204"/>
      <c r="N48" s="1217"/>
      <c r="O48" s="1217"/>
      <c r="P48" s="1217"/>
      <c r="Q48" s="1217"/>
      <c r="R48" s="1217"/>
      <c r="S48" s="1217"/>
      <c r="T48" s="1217"/>
      <c r="U48" s="1218">
        <f>K48</f>
        <v>1200</v>
      </c>
      <c r="V48" s="1217"/>
      <c r="W48" s="1217"/>
      <c r="X48" s="1219">
        <f t="shared" si="5"/>
        <v>1200</v>
      </c>
    </row>
    <row r="49" spans="1:24" ht="26.45" customHeight="1" x14ac:dyDescent="0.25">
      <c r="A49" s="1247" t="s">
        <v>324</v>
      </c>
      <c r="B49" s="310"/>
      <c r="C49" s="310"/>
      <c r="D49" s="1348">
        <f>(22330*3%)+22330</f>
        <v>22999.9</v>
      </c>
      <c r="E49" s="297"/>
      <c r="F49" s="303"/>
      <c r="G49" s="1214" t="s">
        <v>307</v>
      </c>
      <c r="H49" s="1216">
        <v>2</v>
      </c>
      <c r="I49" s="1216">
        <v>0</v>
      </c>
      <c r="J49" s="1216">
        <v>500</v>
      </c>
      <c r="K49" s="1248">
        <f t="shared" si="4"/>
        <v>0</v>
      </c>
      <c r="L49" s="1204"/>
      <c r="M49" s="1204"/>
      <c r="N49" s="1217"/>
      <c r="O49" s="1217"/>
      <c r="P49" s="1217"/>
      <c r="Q49" s="1217"/>
      <c r="R49" s="1217"/>
      <c r="S49" s="1217"/>
      <c r="T49" s="1217"/>
      <c r="U49" s="1217"/>
      <c r="V49" s="1217"/>
      <c r="W49" s="1217"/>
      <c r="X49" s="1219">
        <f t="shared" si="5"/>
        <v>0</v>
      </c>
    </row>
    <row r="50" spans="1:24" ht="34.5" x14ac:dyDescent="0.25">
      <c r="A50" s="1249" t="s">
        <v>653</v>
      </c>
      <c r="B50" s="328"/>
      <c r="C50" s="328"/>
      <c r="D50" s="329"/>
      <c r="E50" s="322"/>
      <c r="F50" s="303"/>
      <c r="G50" s="1250" t="s">
        <v>11</v>
      </c>
      <c r="H50" s="1251"/>
      <c r="I50" s="1251"/>
      <c r="J50" s="1251"/>
      <c r="K50" s="1252">
        <f>SUM(K38:K49)</f>
        <v>34550</v>
      </c>
      <c r="L50" s="1204"/>
      <c r="M50" s="1204"/>
      <c r="N50" s="1217"/>
      <c r="O50" s="1217"/>
      <c r="P50" s="1217"/>
      <c r="Q50" s="1217"/>
      <c r="R50" s="1217"/>
      <c r="S50" s="1217"/>
      <c r="T50" s="1217"/>
      <c r="U50" s="1217"/>
      <c r="V50" s="1217"/>
      <c r="W50" s="1217"/>
      <c r="X50" s="1219">
        <f>SUM(X38:X49)</f>
        <v>34550</v>
      </c>
    </row>
    <row r="51" spans="1:24" ht="15.75" thickBot="1" x14ac:dyDescent="0.3">
      <c r="A51" s="1235" t="s">
        <v>503</v>
      </c>
      <c r="B51" s="311"/>
      <c r="C51" s="311"/>
      <c r="D51" s="1379">
        <f>(350*12)</f>
        <v>4200</v>
      </c>
      <c r="E51" s="297"/>
      <c r="F51" s="303"/>
      <c r="G51" s="1203"/>
      <c r="H51" s="1203"/>
      <c r="I51" s="1203"/>
      <c r="J51" s="1203"/>
      <c r="K51" s="1203"/>
      <c r="L51" s="1203"/>
      <c r="M51" s="1203"/>
    </row>
    <row r="52" spans="1:24" ht="15.75" thickTop="1" x14ac:dyDescent="0.25">
      <c r="A52" s="1253" t="s">
        <v>504</v>
      </c>
      <c r="B52" s="716"/>
      <c r="C52" s="716"/>
      <c r="D52" s="717"/>
      <c r="E52" s="318"/>
      <c r="F52" s="303"/>
      <c r="G52" s="1203"/>
      <c r="H52" s="1203"/>
      <c r="I52" s="1203"/>
      <c r="J52" s="1203"/>
      <c r="K52" s="1203"/>
      <c r="L52" s="1203"/>
      <c r="M52" s="1203"/>
    </row>
    <row r="53" spans="1:24" ht="15.75" thickBot="1" x14ac:dyDescent="0.3">
      <c r="A53" s="1254"/>
      <c r="B53" s="304"/>
      <c r="C53" s="305"/>
      <c r="D53" s="1255"/>
      <c r="E53" s="721">
        <f>SUM(D41:D51)</f>
        <v>78291.899999999994</v>
      </c>
      <c r="F53" s="303"/>
      <c r="G53" s="1203"/>
      <c r="H53" s="1203"/>
      <c r="I53" s="1203"/>
      <c r="J53" s="1203"/>
      <c r="K53" s="1203"/>
      <c r="L53" s="1203"/>
      <c r="M53" s="1203"/>
    </row>
    <row r="54" spans="1:24" ht="15.75" thickTop="1" x14ac:dyDescent="0.25">
      <c r="A54" s="1256"/>
      <c r="B54" s="312"/>
      <c r="C54" s="313"/>
      <c r="D54" s="1257"/>
      <c r="E54" s="314"/>
      <c r="F54" s="303"/>
      <c r="G54" s="1203"/>
      <c r="H54" s="1203"/>
      <c r="I54" s="1203"/>
      <c r="J54" s="1203"/>
      <c r="K54" s="1203"/>
      <c r="L54" s="1203"/>
      <c r="M54" s="1203"/>
    </row>
    <row r="55" spans="1:24" ht="15.75" x14ac:dyDescent="0.25">
      <c r="A55" s="1258" t="s">
        <v>305</v>
      </c>
      <c r="B55" s="296"/>
      <c r="C55" s="308"/>
      <c r="D55" s="1259"/>
      <c r="E55" s="297"/>
      <c r="F55" s="303"/>
      <c r="G55" s="1260"/>
      <c r="H55" s="1261"/>
      <c r="I55" s="1203"/>
      <c r="J55" s="1203"/>
      <c r="K55" s="1203"/>
      <c r="L55" s="1203"/>
      <c r="M55" s="1203"/>
    </row>
    <row r="56" spans="1:24" x14ac:dyDescent="0.25">
      <c r="A56" s="1277" t="s">
        <v>321</v>
      </c>
      <c r="B56" s="49"/>
      <c r="C56" s="49"/>
      <c r="D56" s="1348">
        <f>551562.34</f>
        <v>551562.34</v>
      </c>
      <c r="E56" s="301"/>
      <c r="F56" s="303"/>
      <c r="G56" s="1260"/>
      <c r="H56" s="1262"/>
      <c r="I56" s="1203"/>
      <c r="J56" s="1203"/>
      <c r="K56" s="1203"/>
      <c r="L56" s="1203"/>
      <c r="M56" s="1203"/>
    </row>
    <row r="57" spans="1:24" x14ac:dyDescent="0.25">
      <c r="A57" s="1278" t="s">
        <v>856</v>
      </c>
      <c r="B57" s="49"/>
      <c r="C57" s="49"/>
      <c r="D57" s="279"/>
      <c r="E57" s="301"/>
      <c r="F57" s="303"/>
      <c r="G57" s="1260"/>
      <c r="H57" s="1203"/>
      <c r="I57" s="1203"/>
      <c r="J57" s="1203"/>
      <c r="K57" s="1203"/>
      <c r="L57" s="1203"/>
      <c r="M57" s="1203"/>
    </row>
    <row r="58" spans="1:24" ht="24" customHeight="1" x14ac:dyDescent="0.25">
      <c r="A58" s="1277" t="s">
        <v>325</v>
      </c>
      <c r="B58" s="49"/>
      <c r="C58" s="1279"/>
      <c r="D58" s="1348">
        <f>182075.57</f>
        <v>182075.57</v>
      </c>
      <c r="E58" s="301"/>
      <c r="F58" s="303"/>
      <c r="G58" s="1260"/>
      <c r="H58" s="1203"/>
      <c r="I58" s="1203"/>
      <c r="J58" s="1203"/>
      <c r="K58" s="1203"/>
      <c r="L58" s="1203"/>
      <c r="M58" s="1203"/>
    </row>
    <row r="59" spans="1:24" ht="24.75" customHeight="1" x14ac:dyDescent="0.25">
      <c r="A59" s="1280" t="s">
        <v>320</v>
      </c>
      <c r="B59" s="49"/>
      <c r="C59" s="1279"/>
      <c r="D59" s="279"/>
      <c r="E59" s="301"/>
      <c r="F59" s="303"/>
      <c r="G59" s="1260"/>
      <c r="H59" s="1203"/>
      <c r="I59" s="309"/>
      <c r="J59" s="323"/>
      <c r="K59" s="1203"/>
      <c r="L59" s="1203"/>
      <c r="M59" s="1203"/>
    </row>
    <row r="60" spans="1:24" ht="21.6" customHeight="1" x14ac:dyDescent="0.25">
      <c r="A60" s="1235" t="s">
        <v>308</v>
      </c>
      <c r="B60" s="296"/>
      <c r="C60" s="296"/>
      <c r="D60" s="1379">
        <f>4000</f>
        <v>4000</v>
      </c>
      <c r="E60" s="297"/>
      <c r="F60" s="303"/>
      <c r="G60" s="1260"/>
      <c r="H60" s="1203"/>
      <c r="I60" s="1203"/>
      <c r="J60" s="1203"/>
      <c r="K60" s="1203"/>
      <c r="L60" s="1203"/>
      <c r="M60" s="1203"/>
    </row>
    <row r="61" spans="1:24" ht="22.15" customHeight="1" x14ac:dyDescent="0.25">
      <c r="A61" s="1263" t="s">
        <v>858</v>
      </c>
      <c r="B61" s="296"/>
      <c r="C61" s="296"/>
      <c r="D61" s="298"/>
      <c r="E61" s="297"/>
      <c r="F61" s="303"/>
      <c r="G61" s="1260"/>
      <c r="H61" s="1203"/>
      <c r="I61" s="1203"/>
      <c r="J61" s="1203"/>
      <c r="K61" s="1203"/>
      <c r="L61" s="1203"/>
      <c r="M61" s="1203"/>
    </row>
    <row r="62" spans="1:24" ht="16.149999999999999" customHeight="1" x14ac:dyDescent="0.25">
      <c r="A62" s="1235" t="s">
        <v>309</v>
      </c>
      <c r="B62" s="310"/>
      <c r="C62" s="315">
        <v>0.03</v>
      </c>
      <c r="D62" s="1379">
        <f>600</f>
        <v>600</v>
      </c>
      <c r="E62" s="297"/>
      <c r="F62" s="281"/>
      <c r="G62" s="1203"/>
      <c r="H62" s="1203"/>
      <c r="I62" s="1203"/>
      <c r="J62" s="1203"/>
      <c r="K62" s="1203"/>
    </row>
    <row r="63" spans="1:24" x14ac:dyDescent="0.25">
      <c r="A63" s="1249" t="s">
        <v>507</v>
      </c>
      <c r="B63" s="310"/>
      <c r="C63" s="315"/>
      <c r="D63" s="298"/>
      <c r="E63" s="297"/>
      <c r="F63" s="281"/>
      <c r="I63" s="1264"/>
    </row>
    <row r="64" spans="1:24" ht="24" customHeight="1" x14ac:dyDescent="0.25">
      <c r="A64" s="1205" t="s">
        <v>326</v>
      </c>
      <c r="B64" s="300"/>
      <c r="C64" s="729"/>
      <c r="D64" s="1349">
        <v>30530</v>
      </c>
      <c r="E64" s="301"/>
      <c r="F64" s="281"/>
    </row>
    <row r="65" spans="1:7" ht="25.15" customHeight="1" x14ac:dyDescent="0.25">
      <c r="A65" s="730" t="s">
        <v>310</v>
      </c>
      <c r="B65" s="324"/>
      <c r="C65" s="325"/>
      <c r="D65" s="731"/>
      <c r="E65" s="326"/>
      <c r="F65" s="281"/>
    </row>
    <row r="66" spans="1:7" ht="24" customHeight="1" x14ac:dyDescent="0.25">
      <c r="A66" s="1277" t="s">
        <v>318</v>
      </c>
      <c r="B66" s="49"/>
      <c r="C66" s="65"/>
      <c r="D66" s="1348">
        <f>(112*12)+ (1000)+(1000)</f>
        <v>3344</v>
      </c>
      <c r="E66" s="278"/>
      <c r="F66" s="281"/>
    </row>
    <row r="67" spans="1:7" ht="23.25" x14ac:dyDescent="0.25">
      <c r="A67" s="1280" t="s">
        <v>319</v>
      </c>
      <c r="B67" s="49"/>
      <c r="C67" s="65"/>
      <c r="D67" s="279"/>
      <c r="E67" s="278"/>
    </row>
    <row r="68" spans="1:7" ht="15.75" thickBot="1" x14ac:dyDescent="0.3">
      <c r="A68" s="1254"/>
      <c r="B68" s="304"/>
      <c r="C68" s="305"/>
      <c r="D68" s="1255"/>
      <c r="E68" s="721">
        <f>SUM(D56:D66)</f>
        <v>772111.90999999992</v>
      </c>
    </row>
    <row r="69" spans="1:7" ht="16.5" thickTop="1" x14ac:dyDescent="0.25">
      <c r="A69" s="1239" t="s">
        <v>311</v>
      </c>
      <c r="B69" s="316"/>
      <c r="C69" s="317"/>
      <c r="D69" s="1240"/>
      <c r="E69" s="318"/>
    </row>
    <row r="70" spans="1:7" x14ac:dyDescent="0.25">
      <c r="A70" s="1235" t="s">
        <v>312</v>
      </c>
      <c r="B70" s="296">
        <v>0</v>
      </c>
      <c r="C70" s="308">
        <v>0</v>
      </c>
      <c r="D70" s="1259">
        <v>0</v>
      </c>
      <c r="E70" s="297"/>
    </row>
    <row r="71" spans="1:7" x14ac:dyDescent="0.25">
      <c r="A71" s="1235" t="s">
        <v>323</v>
      </c>
      <c r="B71" s="310"/>
      <c r="C71" s="319"/>
      <c r="D71" s="1852">
        <f>(22550*10%)+22550</f>
        <v>24805</v>
      </c>
      <c r="E71" s="297"/>
    </row>
    <row r="72" spans="1:7" ht="34.5" x14ac:dyDescent="0.25">
      <c r="A72" s="1249" t="s">
        <v>859</v>
      </c>
      <c r="B72" s="328"/>
      <c r="C72" s="330"/>
      <c r="D72" s="1265"/>
      <c r="E72" s="322"/>
    </row>
    <row r="73" spans="1:7" ht="22.15" customHeight="1" x14ac:dyDescent="0.25">
      <c r="A73" s="1266" t="s">
        <v>322</v>
      </c>
      <c r="B73" s="320"/>
      <c r="C73" s="321"/>
      <c r="D73" s="1852">
        <v>5000</v>
      </c>
      <c r="E73" s="322"/>
    </row>
    <row r="74" spans="1:7" x14ac:dyDescent="0.25">
      <c r="A74" s="1267" t="s">
        <v>505</v>
      </c>
      <c r="B74" s="324"/>
      <c r="C74" s="325"/>
      <c r="D74" s="1268">
        <f>5000-5000</f>
        <v>0</v>
      </c>
      <c r="E74" s="326"/>
      <c r="G74" s="634" t="s">
        <v>654</v>
      </c>
    </row>
    <row r="75" spans="1:7" x14ac:dyDescent="0.25">
      <c r="A75" s="1269" t="s">
        <v>506</v>
      </c>
      <c r="B75" s="300"/>
      <c r="C75" s="729"/>
      <c r="D75" s="1268"/>
      <c r="E75" s="301"/>
    </row>
    <row r="76" spans="1:7" ht="15.75" thickBot="1" x14ac:dyDescent="0.3">
      <c r="A76" s="1235" t="s">
        <v>327</v>
      </c>
      <c r="B76" s="312"/>
      <c r="C76" s="313"/>
      <c r="D76" s="1257">
        <v>0</v>
      </c>
      <c r="E76" s="327"/>
    </row>
    <row r="77" spans="1:7" ht="24.75" thickTop="1" thickBot="1" x14ac:dyDescent="0.3">
      <c r="A77" s="1270" t="s">
        <v>328</v>
      </c>
      <c r="B77" s="306"/>
      <c r="C77" s="307"/>
      <c r="D77" s="1271"/>
      <c r="E77" s="278"/>
    </row>
    <row r="78" spans="1:7" ht="15.75" thickBot="1" x14ac:dyDescent="0.3">
      <c r="A78" s="1237"/>
      <c r="B78" s="725"/>
      <c r="C78" s="726"/>
      <c r="D78" s="1272"/>
      <c r="E78" s="720">
        <f>SUM(D70:D75)</f>
        <v>29805</v>
      </c>
    </row>
    <row r="79" spans="1:7" ht="17.25" thickTop="1" thickBot="1" x14ac:dyDescent="0.3">
      <c r="A79" s="1273" t="s">
        <v>313</v>
      </c>
      <c r="B79" s="722"/>
      <c r="C79" s="723"/>
      <c r="D79" s="1274"/>
      <c r="E79" s="724">
        <f>E25+E39+E53+E68+E78</f>
        <v>1215497.4729999998</v>
      </c>
    </row>
    <row r="80" spans="1:7" ht="16.5" thickBot="1" x14ac:dyDescent="0.3">
      <c r="A80" s="1275"/>
    </row>
  </sheetData>
  <mergeCells count="2">
    <mergeCell ref="G26:K26"/>
    <mergeCell ref="G37:K37"/>
  </mergeCells>
  <pageMargins left="0.7" right="0.7" top="0.75" bottom="0.75" header="0.3" footer="0.3"/>
  <pageSetup fitToHeight="0" orientation="landscape" r:id="rId1"/>
  <headerFooter>
    <oddHeader>&amp;C&amp;A Budget Worksheet</oddHeader>
    <oddFooter>&amp;C&amp;D</oddFooter>
  </headerFooter>
  <rowBreaks count="2" manualBreakCount="2">
    <brk id="25" max="4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BU79"/>
  <sheetViews>
    <sheetView zoomScale="125" zoomScaleNormal="125" zoomScaleSheetLayoutView="150" workbookViewId="0">
      <selection activeCell="C17" sqref="C17"/>
    </sheetView>
  </sheetViews>
  <sheetFormatPr defaultColWidth="9.140625" defaultRowHeight="12.75" x14ac:dyDescent="0.2"/>
  <cols>
    <col min="1" max="1" width="0.85546875" style="109" customWidth="1"/>
    <col min="2" max="2" width="44.85546875" style="109" customWidth="1"/>
    <col min="3" max="3" width="36.140625" style="109" customWidth="1"/>
    <col min="4" max="4" width="10.5703125" style="109" customWidth="1"/>
    <col min="5" max="5" width="35.7109375" style="109" customWidth="1"/>
    <col min="6" max="6" width="10.85546875" style="109" customWidth="1"/>
    <col min="7" max="7" width="11.42578125" style="109" customWidth="1"/>
    <col min="8" max="8" width="18" style="109" customWidth="1"/>
    <col min="9" max="9" width="7.5703125" style="109" customWidth="1"/>
    <col min="10" max="10" width="27" style="109" customWidth="1"/>
    <col min="11" max="11" width="21.140625" style="109" customWidth="1"/>
    <col min="12" max="12" width="18.5703125" style="109" customWidth="1"/>
    <col min="13" max="13" width="19.42578125" style="109" customWidth="1"/>
    <col min="14" max="14" width="7.7109375" style="109" customWidth="1"/>
    <col min="15" max="15" width="19.42578125" style="109" customWidth="1"/>
    <col min="16" max="16" width="13.28515625" style="109" customWidth="1"/>
    <col min="17" max="17" width="11" style="109" customWidth="1"/>
    <col min="18" max="18" width="10.140625" style="109" customWidth="1"/>
    <col min="19" max="19" width="14.140625" style="109" customWidth="1"/>
    <col min="20" max="20" width="15" style="109" customWidth="1"/>
    <col min="21" max="21" width="10" style="109" customWidth="1"/>
    <col min="22" max="22" width="44.28515625" customWidth="1"/>
    <col min="23" max="23" width="33.7109375" customWidth="1"/>
    <col min="24" max="24" width="6.85546875" style="109" customWidth="1"/>
    <col min="25" max="25" width="35.140625" style="109" customWidth="1"/>
    <col min="26" max="26" width="13.42578125" style="109" customWidth="1"/>
    <col min="27" max="27" width="12" style="109" customWidth="1"/>
    <col min="28" max="28" width="23.140625" style="109" customWidth="1"/>
    <col min="29" max="29" width="4.7109375" style="109" customWidth="1"/>
    <col min="30" max="30" width="41.28515625" style="109" customWidth="1"/>
    <col min="31" max="31" width="37" style="109" customWidth="1"/>
    <col min="32" max="32" width="3.7109375" style="109" customWidth="1"/>
    <col min="33" max="34" width="19.42578125" style="109" customWidth="1"/>
    <col min="35" max="35" width="6" style="109" customWidth="1"/>
    <col min="36" max="36" width="12.28515625" style="109" customWidth="1"/>
    <col min="37" max="37" width="15.5703125" style="109" customWidth="1"/>
    <col min="38" max="38" width="19.42578125" style="109" customWidth="1"/>
    <col min="39" max="39" width="7.7109375" style="109" customWidth="1"/>
    <col min="40" max="40" width="34.140625" style="109" customWidth="1"/>
    <col min="41" max="41" width="13.42578125" style="109" customWidth="1"/>
    <col min="42" max="42" width="15.28515625" style="109" customWidth="1"/>
    <col min="43" max="43" width="22.42578125" style="109" customWidth="1"/>
    <col min="44" max="44" width="7.7109375" style="109" customWidth="1"/>
    <col min="45" max="45" width="38.5703125" style="109" customWidth="1"/>
    <col min="46" max="46" width="13.42578125" style="109" customWidth="1"/>
    <col min="47" max="47" width="18.28515625" style="109" customWidth="1"/>
    <col min="48" max="48" width="21.85546875" style="109" customWidth="1"/>
    <col min="49" max="49" width="4.140625" style="109" customWidth="1"/>
    <col min="50" max="50" width="35" style="109" bestFit="1" customWidth="1"/>
    <col min="51" max="52" width="9.140625" style="109"/>
    <col min="53" max="53" width="9.7109375" style="109" bestFit="1" customWidth="1"/>
    <col min="54" max="54" width="13.42578125" style="109" customWidth="1"/>
    <col min="55" max="55" width="11.7109375" style="109" bestFit="1" customWidth="1"/>
    <col min="56" max="59" width="9.140625" style="109"/>
    <col min="60" max="60" width="45.140625" style="109" customWidth="1"/>
    <col min="61" max="61" width="12.85546875" style="109" customWidth="1"/>
    <col min="62" max="62" width="10.7109375" style="109" customWidth="1"/>
    <col min="63" max="63" width="9.140625" style="109"/>
    <col min="64" max="64" width="13.42578125" style="109" customWidth="1"/>
    <col min="65" max="65" width="13.28515625" style="109" customWidth="1"/>
    <col min="66" max="66" width="9.140625" style="109"/>
    <col min="67" max="67" width="47.42578125" customWidth="1"/>
    <col min="68" max="68" width="15.85546875" customWidth="1"/>
    <col min="69" max="69" width="15.5703125" style="1547" customWidth="1"/>
    <col min="70" max="70" width="19.42578125" customWidth="1"/>
    <col min="73" max="73" width="23.5703125" customWidth="1"/>
    <col min="74" max="16384" width="9.140625" style="109"/>
  </cols>
  <sheetData>
    <row r="1" spans="2:73" ht="13.5" thickBot="1" x14ac:dyDescent="0.25"/>
    <row r="2" spans="2:73" ht="15.75" thickBot="1" x14ac:dyDescent="0.25">
      <c r="B2" s="1985" t="s">
        <v>706</v>
      </c>
      <c r="C2" s="1986"/>
      <c r="D2" s="1548"/>
      <c r="E2" s="1987" t="s">
        <v>707</v>
      </c>
      <c r="F2" s="1989"/>
      <c r="G2" s="1989"/>
      <c r="H2" s="1988"/>
      <c r="I2" s="1007"/>
      <c r="J2" s="1987" t="s">
        <v>708</v>
      </c>
      <c r="K2" s="1989"/>
      <c r="L2" s="1989"/>
      <c r="M2" s="1988"/>
      <c r="N2" s="299"/>
      <c r="O2" s="1987" t="s">
        <v>709</v>
      </c>
      <c r="P2" s="1989"/>
      <c r="Q2" s="1989"/>
      <c r="R2" s="1989"/>
      <c r="S2" s="1989"/>
      <c r="T2" s="1989"/>
      <c r="U2" s="299"/>
      <c r="V2" s="1987" t="s">
        <v>710</v>
      </c>
      <c r="W2" s="1988"/>
      <c r="X2" s="299"/>
      <c r="Y2" s="1987" t="s">
        <v>711</v>
      </c>
      <c r="Z2" s="1989"/>
      <c r="AA2" s="1989"/>
      <c r="AB2" s="1988"/>
      <c r="AC2" s="299"/>
      <c r="AD2" s="1987" t="s">
        <v>244</v>
      </c>
      <c r="AE2" s="1988"/>
      <c r="AF2" s="299"/>
      <c r="AG2" s="1987" t="s">
        <v>712</v>
      </c>
      <c r="AH2" s="1989"/>
      <c r="AI2" s="1989"/>
      <c r="AJ2" s="1989"/>
      <c r="AK2" s="1989"/>
      <c r="AL2" s="1988"/>
      <c r="AM2" s="299"/>
      <c r="AN2" s="1990" t="s">
        <v>713</v>
      </c>
      <c r="AO2" s="1991"/>
      <c r="AP2" s="1991"/>
      <c r="AQ2" s="1992"/>
      <c r="AR2" s="299"/>
      <c r="AS2" s="1993" t="s">
        <v>87</v>
      </c>
      <c r="AT2" s="1994"/>
      <c r="AU2" s="1994"/>
      <c r="AV2" s="1995"/>
      <c r="AX2" s="1996" t="s">
        <v>646</v>
      </c>
      <c r="AY2" s="1997"/>
      <c r="AZ2" s="1997"/>
      <c r="BA2" s="1997"/>
      <c r="BB2" s="1997"/>
      <c r="BC2" s="1997"/>
      <c r="BD2" s="1997"/>
      <c r="BE2" s="1997"/>
      <c r="BF2" s="1998"/>
      <c r="BH2" s="1530"/>
      <c r="BI2" s="1531" t="s">
        <v>714</v>
      </c>
      <c r="BJ2" s="1531"/>
      <c r="BK2" s="1531"/>
      <c r="BL2" s="1531"/>
      <c r="BM2" s="1532"/>
      <c r="BO2" s="1549" t="s">
        <v>715</v>
      </c>
      <c r="BP2" s="1020" t="s">
        <v>5</v>
      </c>
      <c r="BQ2" s="1550" t="s">
        <v>31</v>
      </c>
      <c r="BR2" s="1021"/>
      <c r="BS2" s="1972" t="s">
        <v>30</v>
      </c>
      <c r="BT2" s="1973"/>
      <c r="BU2" s="1974"/>
    </row>
    <row r="3" spans="2:73" ht="15" thickBot="1" x14ac:dyDescent="0.25">
      <c r="B3" s="1975" t="s">
        <v>826</v>
      </c>
      <c r="C3" s="1976"/>
      <c r="D3" s="1548"/>
      <c r="E3" s="1977" t="s">
        <v>716</v>
      </c>
      <c r="F3" s="1978"/>
      <c r="G3" s="1978"/>
      <c r="H3" s="1979"/>
      <c r="I3" s="144"/>
      <c r="J3" s="1977" t="s">
        <v>716</v>
      </c>
      <c r="K3" s="1978"/>
      <c r="L3" s="1978"/>
      <c r="M3" s="1979"/>
      <c r="N3" s="299"/>
      <c r="O3" s="1977" t="s">
        <v>839</v>
      </c>
      <c r="P3" s="1978"/>
      <c r="Q3" s="1978"/>
      <c r="R3" s="1978"/>
      <c r="S3" s="1978"/>
      <c r="T3" s="1978"/>
      <c r="U3" s="299"/>
      <c r="V3" s="1980">
        <v>44713</v>
      </c>
      <c r="W3" s="1981"/>
      <c r="X3" s="299"/>
      <c r="Y3" s="1977" t="s">
        <v>716</v>
      </c>
      <c r="Z3" s="1978"/>
      <c r="AA3" s="1978"/>
      <c r="AB3" s="1979"/>
      <c r="AC3" s="299"/>
      <c r="AD3" s="1977" t="s">
        <v>717</v>
      </c>
      <c r="AE3" s="1979"/>
      <c r="AF3" s="299"/>
      <c r="AG3" s="1977" t="s">
        <v>841</v>
      </c>
      <c r="AH3" s="1978"/>
      <c r="AI3" s="1978"/>
      <c r="AJ3" s="1978"/>
      <c r="AK3" s="1978"/>
      <c r="AL3" s="1979"/>
      <c r="AM3" s="299"/>
      <c r="AN3" s="1982" t="s">
        <v>62</v>
      </c>
      <c r="AO3" s="1983"/>
      <c r="AP3" s="1983"/>
      <c r="AQ3" s="1984"/>
      <c r="AR3" s="299"/>
      <c r="AS3" s="1977" t="s">
        <v>115</v>
      </c>
      <c r="AT3" s="1978"/>
      <c r="AU3" s="1978"/>
      <c r="AV3" s="1979"/>
      <c r="AX3" s="1008"/>
      <c r="AY3" s="1009"/>
      <c r="AZ3" s="1009"/>
      <c r="BA3" s="1009"/>
      <c r="BB3" s="1009"/>
      <c r="BC3" s="1529"/>
      <c r="BD3" s="1009"/>
      <c r="BE3" s="1009"/>
      <c r="BF3" s="1010"/>
      <c r="BH3" s="1528"/>
      <c r="BJ3" s="1529"/>
      <c r="BK3" s="1551"/>
      <c r="BL3" s="1551"/>
      <c r="BM3" s="1552"/>
      <c r="BO3" s="1553"/>
      <c r="BP3" s="1020"/>
      <c r="BQ3" s="1550"/>
      <c r="BR3" s="109"/>
      <c r="BS3" s="1897" t="s">
        <v>718</v>
      </c>
      <c r="BT3" s="1898"/>
      <c r="BU3" s="1899"/>
    </row>
    <row r="4" spans="2:73" ht="15" thickBot="1" x14ac:dyDescent="0.25">
      <c r="B4" s="1022" t="s">
        <v>161</v>
      </c>
      <c r="C4" s="172">
        <v>500</v>
      </c>
      <c r="D4" s="1554"/>
      <c r="E4" s="1008"/>
      <c r="F4" s="1009"/>
      <c r="G4" s="1009"/>
      <c r="H4" s="1010"/>
      <c r="I4" s="145"/>
      <c r="J4" s="1519" t="s">
        <v>247</v>
      </c>
      <c r="K4" s="1011">
        <v>5</v>
      </c>
      <c r="L4" s="129">
        <v>1000</v>
      </c>
      <c r="M4" s="156">
        <f>K4*L4</f>
        <v>5000</v>
      </c>
      <c r="N4" s="157"/>
      <c r="O4" s="1012" t="s">
        <v>172</v>
      </c>
      <c r="P4" s="1516"/>
      <c r="Q4" s="1013"/>
      <c r="R4" s="241"/>
      <c r="S4" s="115"/>
      <c r="T4" s="1555"/>
      <c r="U4" s="128"/>
      <c r="V4" s="1014" t="s">
        <v>251</v>
      </c>
      <c r="W4" s="1010"/>
      <c r="X4" s="157"/>
      <c r="Y4" s="1008"/>
      <c r="Z4" s="1009"/>
      <c r="AA4" s="1009"/>
      <c r="AB4" s="1010"/>
      <c r="AC4" s="299"/>
      <c r="AD4" s="1014" t="s">
        <v>251</v>
      </c>
      <c r="AE4" s="1010"/>
      <c r="AF4" s="299"/>
      <c r="AG4" s="1515" t="s">
        <v>123</v>
      </c>
      <c r="AH4" s="1516"/>
      <c r="AI4" s="1013"/>
      <c r="AJ4" s="137">
        <v>50</v>
      </c>
      <c r="AK4" s="47">
        <v>600</v>
      </c>
      <c r="AL4" s="130">
        <f>+AJ4*AK4</f>
        <v>30000</v>
      </c>
      <c r="AM4" s="157"/>
      <c r="AN4" s="1015" t="s">
        <v>73</v>
      </c>
      <c r="AO4" s="1016">
        <v>6</v>
      </c>
      <c r="AP4" s="1016">
        <v>33</v>
      </c>
      <c r="AQ4" s="194">
        <f>SUM(AO4:AP4)</f>
        <v>39</v>
      </c>
      <c r="AR4" s="299"/>
      <c r="AS4" s="1017" t="s">
        <v>156</v>
      </c>
      <c r="AT4" s="1538"/>
      <c r="AU4" s="1538"/>
      <c r="AV4" s="1539"/>
      <c r="AX4" s="1018"/>
      <c r="AY4" s="1019"/>
      <c r="AZ4" s="1729"/>
      <c r="BA4" s="1020"/>
      <c r="BB4" s="1729"/>
      <c r="BC4" s="1021"/>
      <c r="BD4" s="1972" t="s">
        <v>30</v>
      </c>
      <c r="BE4" s="1973"/>
      <c r="BF4" s="1974"/>
      <c r="BH4" s="1528"/>
      <c r="BI4" s="1528"/>
      <c r="BJ4" s="1529"/>
      <c r="BM4" s="112"/>
      <c r="BO4" s="1528" t="s">
        <v>609</v>
      </c>
      <c r="BP4" s="1529"/>
      <c r="BQ4" s="1556"/>
      <c r="BR4" s="109"/>
      <c r="BS4" s="1897" t="s">
        <v>719</v>
      </c>
      <c r="BT4" s="1898"/>
      <c r="BU4" s="1899"/>
    </row>
    <row r="5" spans="2:73" ht="15" thickBot="1" x14ac:dyDescent="0.25">
      <c r="B5" s="173" t="s">
        <v>162</v>
      </c>
      <c r="C5" s="250">
        <v>80</v>
      </c>
      <c r="D5" s="1557"/>
      <c r="E5" s="1528" t="s">
        <v>79</v>
      </c>
      <c r="F5" s="1023" t="s">
        <v>5</v>
      </c>
      <c r="G5" s="1023" t="s">
        <v>31</v>
      </c>
      <c r="H5" s="1024" t="s">
        <v>2</v>
      </c>
      <c r="I5" s="144"/>
      <c r="J5" s="1504" t="s">
        <v>248</v>
      </c>
      <c r="K5" s="1032">
        <v>2</v>
      </c>
      <c r="L5" s="127">
        <v>450</v>
      </c>
      <c r="M5" s="155">
        <f>(K5*L5)</f>
        <v>900</v>
      </c>
      <c r="N5" s="147"/>
      <c r="O5" s="1515" t="s">
        <v>166</v>
      </c>
      <c r="P5" s="1516"/>
      <c r="Q5" s="1013"/>
      <c r="R5" s="242">
        <v>1</v>
      </c>
      <c r="S5" s="243">
        <v>5000</v>
      </c>
      <c r="T5" s="138">
        <f>R5*S5</f>
        <v>5000</v>
      </c>
      <c r="U5" s="128"/>
      <c r="V5" s="1025" t="s">
        <v>720</v>
      </c>
      <c r="W5" s="183">
        <f>(2*3000)</f>
        <v>6000</v>
      </c>
      <c r="X5" s="147"/>
      <c r="Y5" s="1528" t="s">
        <v>79</v>
      </c>
      <c r="Z5" s="1023" t="s">
        <v>5</v>
      </c>
      <c r="AA5" s="1023" t="s">
        <v>31</v>
      </c>
      <c r="AB5" s="1024" t="s">
        <v>2</v>
      </c>
      <c r="AC5" s="299"/>
      <c r="AD5" s="1025" t="s">
        <v>252</v>
      </c>
      <c r="AE5" s="183">
        <v>1450</v>
      </c>
      <c r="AF5" s="299"/>
      <c r="AG5" s="1515" t="s">
        <v>241</v>
      </c>
      <c r="AH5" s="1516"/>
      <c r="AI5" s="1013"/>
      <c r="AJ5" s="200">
        <v>47</v>
      </c>
      <c r="AK5" s="47">
        <v>550</v>
      </c>
      <c r="AL5" s="130">
        <f>+AJ5*AK5</f>
        <v>25850</v>
      </c>
      <c r="AM5" s="147"/>
      <c r="AN5" s="226" t="s">
        <v>12</v>
      </c>
      <c r="AO5" s="227">
        <v>500</v>
      </c>
      <c r="AP5" s="227">
        <v>300</v>
      </c>
      <c r="AQ5" s="228"/>
      <c r="AR5" s="299"/>
      <c r="AS5" s="1026" t="s">
        <v>75</v>
      </c>
      <c r="AT5" s="1027">
        <v>70</v>
      </c>
      <c r="AU5" s="160">
        <v>150</v>
      </c>
      <c r="AV5" s="161">
        <f>+AT5*AU5</f>
        <v>10500</v>
      </c>
      <c r="AX5" s="1028" t="s">
        <v>609</v>
      </c>
      <c r="AY5" s="1019" t="s">
        <v>5</v>
      </c>
      <c r="AZ5" s="1729" t="s">
        <v>795</v>
      </c>
      <c r="BA5" s="1020" t="s">
        <v>796</v>
      </c>
      <c r="BB5" s="1009" t="s">
        <v>795</v>
      </c>
      <c r="BC5" s="1009" t="s">
        <v>796</v>
      </c>
      <c r="BD5" s="1922" t="s">
        <v>30</v>
      </c>
      <c r="BE5" s="1923"/>
      <c r="BF5" s="1924"/>
      <c r="BH5" s="1558" t="s">
        <v>721</v>
      </c>
      <c r="BI5" s="1559"/>
      <c r="BJ5" s="1560">
        <v>31</v>
      </c>
      <c r="BK5" s="1561">
        <v>500</v>
      </c>
      <c r="BL5" s="1562"/>
      <c r="BM5" s="1563">
        <f>BJ5*BK5</f>
        <v>15500</v>
      </c>
      <c r="BO5" s="1564" t="s">
        <v>610</v>
      </c>
      <c r="BP5" s="1565">
        <v>102</v>
      </c>
      <c r="BQ5" s="1566">
        <v>150</v>
      </c>
      <c r="BR5" s="1567">
        <f>+BP5*BQ5</f>
        <v>15300</v>
      </c>
      <c r="BS5" s="1891"/>
      <c r="BT5" s="1892"/>
      <c r="BU5" s="1893"/>
    </row>
    <row r="6" spans="2:73" ht="15" thickBot="1" x14ac:dyDescent="0.25">
      <c r="B6" s="1029" t="s">
        <v>722</v>
      </c>
      <c r="C6" s="1568">
        <v>125</v>
      </c>
      <c r="D6" s="1569"/>
      <c r="E6" s="1026" t="s">
        <v>116</v>
      </c>
      <c r="F6" s="1027">
        <v>26</v>
      </c>
      <c r="G6" s="162">
        <v>600</v>
      </c>
      <c r="H6" s="162">
        <f>+F6*G6</f>
        <v>15600</v>
      </c>
      <c r="I6" s="145"/>
      <c r="J6" s="1570" t="s">
        <v>32</v>
      </c>
      <c r="K6" s="1571"/>
      <c r="L6" s="1572"/>
      <c r="M6" s="239">
        <f>SUM(M4:M5)</f>
        <v>5900</v>
      </c>
      <c r="N6" s="158"/>
      <c r="O6" s="1515" t="s">
        <v>167</v>
      </c>
      <c r="P6" s="1516"/>
      <c r="Q6" s="1013"/>
      <c r="R6" s="242">
        <v>1</v>
      </c>
      <c r="S6" s="244">
        <v>3000</v>
      </c>
      <c r="T6" s="138">
        <f t="shared" ref="T6:T11" si="0">R6*S6</f>
        <v>3000</v>
      </c>
      <c r="U6" s="1573"/>
      <c r="V6" s="1029" t="s">
        <v>723</v>
      </c>
      <c r="W6" s="184">
        <f>(5*1500)</f>
        <v>7500</v>
      </c>
      <c r="X6" s="158"/>
      <c r="Y6" s="1026" t="s">
        <v>116</v>
      </c>
      <c r="Z6" s="1027">
        <v>26</v>
      </c>
      <c r="AA6" s="162">
        <v>600</v>
      </c>
      <c r="AB6" s="162">
        <f>+Z6*AA6</f>
        <v>15600</v>
      </c>
      <c r="AC6" s="128"/>
      <c r="AD6" s="1029" t="s">
        <v>253</v>
      </c>
      <c r="AE6" s="184">
        <f>1*1250</f>
        <v>1250</v>
      </c>
      <c r="AF6" s="128"/>
      <c r="AG6" s="1889" t="s">
        <v>258</v>
      </c>
      <c r="AH6" s="1890"/>
      <c r="AI6" s="1013"/>
      <c r="AJ6" s="200">
        <v>20</v>
      </c>
      <c r="AK6" s="47">
        <v>650</v>
      </c>
      <c r="AL6" s="130">
        <f>(AJ6*AK6)</f>
        <v>13000</v>
      </c>
      <c r="AM6" s="158"/>
      <c r="AN6" s="221" t="s">
        <v>724</v>
      </c>
      <c r="AO6" s="222"/>
      <c r="AP6" s="222"/>
      <c r="AQ6" s="170">
        <f>(AO4*AO5)+(AP4*AP5)</f>
        <v>12900</v>
      </c>
      <c r="AR6" s="128"/>
      <c r="AS6" s="1030" t="s">
        <v>76</v>
      </c>
      <c r="AT6" s="1031">
        <v>45</v>
      </c>
      <c r="AU6" s="230">
        <v>50</v>
      </c>
      <c r="AV6" s="231">
        <f>+AT6*AU6</f>
        <v>2250</v>
      </c>
      <c r="AX6" s="110" t="s">
        <v>610</v>
      </c>
      <c r="AY6" s="1032">
        <v>144</v>
      </c>
      <c r="AZ6" s="1032"/>
      <c r="BA6" s="1033">
        <v>175</v>
      </c>
      <c r="BB6" s="1033"/>
      <c r="BC6" s="108">
        <f>+AY6*BA6</f>
        <v>25200</v>
      </c>
      <c r="BD6" s="1966"/>
      <c r="BE6" s="1967"/>
      <c r="BF6" s="1968"/>
      <c r="BH6" s="1536" t="s">
        <v>725</v>
      </c>
      <c r="BI6" s="1535"/>
      <c r="BJ6" s="1574">
        <v>1</v>
      </c>
      <c r="BK6" s="1575">
        <v>2500</v>
      </c>
      <c r="BL6" s="1576">
        <f>BJ6*BK6</f>
        <v>2500</v>
      </c>
      <c r="BM6" s="1577"/>
      <c r="BO6" s="1578"/>
      <c r="BP6" s="1579"/>
      <c r="BQ6" s="1580"/>
      <c r="BR6" s="1567">
        <f>BP6*BQ6</f>
        <v>0</v>
      </c>
      <c r="BS6" s="1051"/>
      <c r="BT6" s="1052"/>
      <c r="BU6" s="1053"/>
    </row>
    <row r="7" spans="2:73" ht="15.75" thickTop="1" thickBot="1" x14ac:dyDescent="0.25">
      <c r="B7" s="1137" t="s">
        <v>162</v>
      </c>
      <c r="C7" s="1841">
        <v>100</v>
      </c>
      <c r="D7" s="1581"/>
      <c r="E7" s="1034" t="s">
        <v>117</v>
      </c>
      <c r="F7" s="1035"/>
      <c r="G7" s="163"/>
      <c r="H7" s="163">
        <f>+F7*G7</f>
        <v>0</v>
      </c>
      <c r="I7" s="145"/>
      <c r="J7" s="1036"/>
      <c r="L7" s="1037"/>
      <c r="M7" s="1038"/>
      <c r="O7" s="1515" t="s">
        <v>168</v>
      </c>
      <c r="P7" s="1516"/>
      <c r="Q7" s="1013"/>
      <c r="R7" s="200">
        <v>3</v>
      </c>
      <c r="S7" s="244">
        <v>2500</v>
      </c>
      <c r="T7" s="138">
        <f t="shared" si="0"/>
        <v>7500</v>
      </c>
      <c r="U7" s="1569"/>
      <c r="V7" s="1029" t="s">
        <v>726</v>
      </c>
      <c r="W7" s="184">
        <f>(4*300)</f>
        <v>1200</v>
      </c>
      <c r="Y7" s="1034" t="s">
        <v>117</v>
      </c>
      <c r="Z7" s="1035"/>
      <c r="AA7" s="163"/>
      <c r="AB7" s="163">
        <f>+Z7*AA7</f>
        <v>0</v>
      </c>
      <c r="AC7" s="128"/>
      <c r="AD7" s="1029" t="s">
        <v>120</v>
      </c>
      <c r="AE7" s="184">
        <f>3*1250</f>
        <v>3750</v>
      </c>
      <c r="AF7" s="128"/>
      <c r="AG7" s="1515" t="s">
        <v>134</v>
      </c>
      <c r="AH7" s="1516"/>
      <c r="AI7" s="1013"/>
      <c r="AJ7" s="200">
        <v>1</v>
      </c>
      <c r="AK7" s="201">
        <v>0</v>
      </c>
      <c r="AL7" s="130">
        <f>+AJ7*AK7</f>
        <v>0</v>
      </c>
      <c r="AN7" s="1039" t="s">
        <v>157</v>
      </c>
      <c r="AO7" s="1040">
        <v>1</v>
      </c>
      <c r="AP7" s="266">
        <v>3000</v>
      </c>
      <c r="AQ7" s="267">
        <f>AO7*AP7</f>
        <v>3000</v>
      </c>
      <c r="AR7" s="128"/>
      <c r="AS7" s="1041" t="s">
        <v>77</v>
      </c>
      <c r="AT7" s="1042"/>
      <c r="AU7" s="1043"/>
      <c r="AV7" s="232">
        <f>+AV5+AV6</f>
        <v>12750</v>
      </c>
      <c r="AX7" s="110" t="s">
        <v>610</v>
      </c>
      <c r="AY7" s="1032">
        <v>0</v>
      </c>
      <c r="AZ7" s="1032"/>
      <c r="BA7" s="1033">
        <v>200</v>
      </c>
      <c r="BB7" s="1033"/>
      <c r="BC7" s="108">
        <f>+AY7*BA7</f>
        <v>0</v>
      </c>
      <c r="BD7" s="1966"/>
      <c r="BE7" s="1967"/>
      <c r="BF7" s="1968"/>
      <c r="BH7" s="1536" t="s">
        <v>727</v>
      </c>
      <c r="BI7" s="1535"/>
      <c r="BJ7" s="1574">
        <v>2</v>
      </c>
      <c r="BK7" s="1582">
        <v>1500</v>
      </c>
      <c r="BL7" s="1045">
        <f>+BJ7*BK7</f>
        <v>3000</v>
      </c>
      <c r="BM7" s="1583"/>
      <c r="BO7" s="1522" t="s">
        <v>612</v>
      </c>
      <c r="BP7" s="1523"/>
      <c r="BQ7" s="1584"/>
      <c r="BR7" s="1585">
        <f>BR5+BR6</f>
        <v>15300</v>
      </c>
      <c r="BS7" s="1932"/>
      <c r="BT7" s="1933"/>
      <c r="BU7" s="1934"/>
    </row>
    <row r="8" spans="2:73" ht="15.75" thickTop="1" thickBot="1" x14ac:dyDescent="0.25">
      <c r="B8" s="1586" t="s">
        <v>29</v>
      </c>
      <c r="C8" s="1587">
        <f>(+C4*C5)+(C6*C7)</f>
        <v>52500</v>
      </c>
      <c r="D8" s="157"/>
      <c r="E8" s="1969" t="s">
        <v>80</v>
      </c>
      <c r="F8" s="1970"/>
      <c r="G8" s="1971"/>
      <c r="H8" s="133">
        <f>+H6+H7</f>
        <v>15600</v>
      </c>
      <c r="I8" s="145"/>
      <c r="J8" s="1515" t="s">
        <v>249</v>
      </c>
      <c r="K8" s="110">
        <v>100</v>
      </c>
      <c r="L8" s="1045">
        <v>25</v>
      </c>
      <c r="M8" s="140">
        <f>K8*L8</f>
        <v>2500</v>
      </c>
      <c r="N8" s="128"/>
      <c r="O8" s="1515" t="s">
        <v>169</v>
      </c>
      <c r="P8" s="1516"/>
      <c r="Q8" s="1013"/>
      <c r="R8" s="242">
        <v>1</v>
      </c>
      <c r="S8" s="243">
        <v>1750</v>
      </c>
      <c r="T8" s="138">
        <f t="shared" si="0"/>
        <v>1750</v>
      </c>
      <c r="U8" s="1569"/>
      <c r="V8" s="1029" t="s">
        <v>728</v>
      </c>
      <c r="W8" s="184">
        <v>750</v>
      </c>
      <c r="X8" s="128"/>
      <c r="Y8" s="1969" t="s">
        <v>80</v>
      </c>
      <c r="Z8" s="1970"/>
      <c r="AA8" s="1971"/>
      <c r="AB8" s="133">
        <f>+AB6+AB7</f>
        <v>15600</v>
      </c>
      <c r="AC8" s="1046"/>
      <c r="AD8" s="1029" t="s">
        <v>257</v>
      </c>
      <c r="AE8" s="184">
        <f>2*800</f>
        <v>1600</v>
      </c>
      <c r="AF8" s="1046"/>
      <c r="AG8" s="1515" t="s">
        <v>124</v>
      </c>
      <c r="AH8" s="1516"/>
      <c r="AI8" s="1013"/>
      <c r="AJ8" s="200">
        <v>3</v>
      </c>
      <c r="AK8" s="244">
        <v>820</v>
      </c>
      <c r="AL8" s="130">
        <f>+AJ8*AK8</f>
        <v>2460</v>
      </c>
      <c r="AM8" s="128"/>
      <c r="AN8" s="1536" t="s">
        <v>247</v>
      </c>
      <c r="AO8" s="1047">
        <v>20</v>
      </c>
      <c r="AP8" s="139">
        <v>700</v>
      </c>
      <c r="AQ8" s="267">
        <f>AO8*AP8</f>
        <v>14000</v>
      </c>
      <c r="AR8" s="1046"/>
      <c r="AS8" s="1537" t="s">
        <v>254</v>
      </c>
      <c r="AT8" s="1048"/>
      <c r="AU8" s="1048"/>
      <c r="AV8" s="1049"/>
      <c r="AX8" s="110" t="s">
        <v>611</v>
      </c>
      <c r="AY8" s="1032">
        <v>94</v>
      </c>
      <c r="AZ8" s="1032"/>
      <c r="BA8" s="1050">
        <v>10</v>
      </c>
      <c r="BB8" s="1050"/>
      <c r="BC8" s="108">
        <f>+AY8*BA8</f>
        <v>940</v>
      </c>
      <c r="BD8" s="1051"/>
      <c r="BE8" s="1052"/>
      <c r="BF8" s="1053"/>
      <c r="BH8" s="1588" t="s">
        <v>729</v>
      </c>
      <c r="BI8" s="1535"/>
      <c r="BJ8" s="137">
        <v>4</v>
      </c>
      <c r="BK8" s="1589">
        <v>600</v>
      </c>
      <c r="BL8" s="1590">
        <f>BJ8*BK8</f>
        <v>2400</v>
      </c>
      <c r="BM8" s="1577"/>
      <c r="BO8" s="1054" t="s">
        <v>613</v>
      </c>
      <c r="BP8" s="1055"/>
      <c r="BQ8" s="1591"/>
      <c r="BR8" s="1071"/>
      <c r="BS8" s="1922"/>
      <c r="BT8" s="1923"/>
      <c r="BU8" s="1924"/>
    </row>
    <row r="9" spans="2:73" ht="15.75" thickBot="1" x14ac:dyDescent="0.3">
      <c r="B9" s="1592" t="s">
        <v>163</v>
      </c>
      <c r="C9" s="140">
        <f>25*100</f>
        <v>2500</v>
      </c>
      <c r="D9" s="1573"/>
      <c r="E9" s="1054"/>
      <c r="F9" s="1055"/>
      <c r="G9" s="1055"/>
      <c r="H9" s="1056"/>
      <c r="I9" s="148"/>
      <c r="J9" s="1515" t="s">
        <v>270</v>
      </c>
      <c r="K9" s="110">
        <v>40</v>
      </c>
      <c r="L9" s="1045">
        <v>30</v>
      </c>
      <c r="M9" s="140">
        <f>K9*L9</f>
        <v>1200</v>
      </c>
      <c r="N9" s="128"/>
      <c r="O9" s="1515" t="s">
        <v>147</v>
      </c>
      <c r="P9" s="1516"/>
      <c r="Q9" s="1013"/>
      <c r="R9" s="242">
        <v>6</v>
      </c>
      <c r="S9" s="243">
        <v>750</v>
      </c>
      <c r="T9" s="138">
        <f t="shared" si="0"/>
        <v>4500</v>
      </c>
      <c r="U9" s="1569"/>
      <c r="V9" s="221" t="s">
        <v>32</v>
      </c>
      <c r="W9" s="188">
        <f>SUM(W5:W8)</f>
        <v>15450</v>
      </c>
      <c r="X9" s="128"/>
      <c r="Y9" s="1054"/>
      <c r="Z9" s="1055"/>
      <c r="AA9" s="1055"/>
      <c r="AB9" s="1056"/>
      <c r="AC9" s="1057"/>
      <c r="AD9" s="1022" t="s">
        <v>133</v>
      </c>
      <c r="AE9" s="184">
        <f>5*800</f>
        <v>4000</v>
      </c>
      <c r="AF9" s="1057"/>
      <c r="AG9" s="1515" t="s">
        <v>125</v>
      </c>
      <c r="AH9" s="1516"/>
      <c r="AI9" s="1013"/>
      <c r="AJ9" s="200">
        <v>15</v>
      </c>
      <c r="AK9" s="1412">
        <v>1040</v>
      </c>
      <c r="AL9" s="130">
        <f>+AJ9*AK9</f>
        <v>15600</v>
      </c>
      <c r="AM9" s="128"/>
      <c r="AN9" s="1533" t="s">
        <v>268</v>
      </c>
      <c r="AO9" s="1593">
        <v>12</v>
      </c>
      <c r="AP9" s="1594">
        <v>300</v>
      </c>
      <c r="AQ9" s="267">
        <f>AO9*AP9</f>
        <v>3600</v>
      </c>
      <c r="AR9" s="1057"/>
      <c r="AS9" s="1059" t="s">
        <v>157</v>
      </c>
      <c r="AT9" s="1029">
        <v>1</v>
      </c>
      <c r="AU9" s="131">
        <v>3000</v>
      </c>
      <c r="AV9" s="117">
        <f>AT9*AU9</f>
        <v>3000</v>
      </c>
      <c r="AX9" s="1060" t="s">
        <v>612</v>
      </c>
      <c r="AY9" s="1061"/>
      <c r="AZ9" s="1061"/>
      <c r="BA9" s="1062"/>
      <c r="BB9" s="1062"/>
      <c r="BC9" s="1063">
        <f>SUM(BC6:BC8)</f>
        <v>26140</v>
      </c>
      <c r="BD9" s="1963"/>
      <c r="BE9" s="1964"/>
      <c r="BF9" s="1965"/>
      <c r="BH9" s="1536" t="s">
        <v>730</v>
      </c>
      <c r="BI9" s="1595"/>
      <c r="BJ9" s="137">
        <v>1</v>
      </c>
      <c r="BK9" s="454">
        <v>800</v>
      </c>
      <c r="BL9" s="1576">
        <f>+BJ9*BK9</f>
        <v>800</v>
      </c>
      <c r="BM9" s="1577"/>
      <c r="BO9" s="1074" t="s">
        <v>158</v>
      </c>
      <c r="BP9" s="1022">
        <v>1</v>
      </c>
      <c r="BQ9" s="1596">
        <v>3000</v>
      </c>
      <c r="BR9" s="1597">
        <f>BP9*BQ9</f>
        <v>3000</v>
      </c>
      <c r="BS9" s="1957" t="s">
        <v>731</v>
      </c>
      <c r="BT9" s="1958"/>
      <c r="BU9" s="1959"/>
    </row>
    <row r="10" spans="2:73" ht="15.75" thickBot="1" x14ac:dyDescent="0.3">
      <c r="B10" s="223" t="s">
        <v>43</v>
      </c>
      <c r="C10" s="212">
        <f>(5*2000)</f>
        <v>10000</v>
      </c>
      <c r="D10" s="128"/>
      <c r="E10" s="1059"/>
      <c r="F10" s="1029"/>
      <c r="G10" s="1064">
        <v>0</v>
      </c>
      <c r="H10" s="1065">
        <f>+F10*G10</f>
        <v>0</v>
      </c>
      <c r="I10" s="125"/>
      <c r="J10" s="1066" t="s">
        <v>250</v>
      </c>
      <c r="K10" s="123">
        <v>60</v>
      </c>
      <c r="L10" s="1067">
        <v>35</v>
      </c>
      <c r="M10" s="176">
        <f>K10*L10</f>
        <v>2100</v>
      </c>
      <c r="N10" s="128"/>
      <c r="O10" s="1515" t="s">
        <v>170</v>
      </c>
      <c r="P10" s="1516"/>
      <c r="Q10" s="1013"/>
      <c r="R10" s="200">
        <v>6</v>
      </c>
      <c r="S10" s="244">
        <v>500</v>
      </c>
      <c r="T10" s="138">
        <f t="shared" si="0"/>
        <v>3000</v>
      </c>
      <c r="U10" s="1598"/>
      <c r="V10" s="1599"/>
      <c r="W10" s="238"/>
      <c r="X10" s="128"/>
      <c r="Y10" s="1059"/>
      <c r="Z10" s="1029"/>
      <c r="AA10" s="1064">
        <v>0</v>
      </c>
      <c r="AB10" s="1065">
        <f>+Z10*AA10</f>
        <v>0</v>
      </c>
      <c r="AC10" s="1068"/>
      <c r="AD10" s="1022" t="s">
        <v>732</v>
      </c>
      <c r="AE10" s="184">
        <f>15*500</f>
        <v>7500</v>
      </c>
      <c r="AF10" s="1068"/>
      <c r="AG10" s="1066" t="s">
        <v>230</v>
      </c>
      <c r="AH10" s="1069"/>
      <c r="AI10" s="1070"/>
      <c r="AJ10" s="235">
        <v>1</v>
      </c>
      <c r="AK10" s="236">
        <v>0</v>
      </c>
      <c r="AL10" s="176">
        <v>0</v>
      </c>
      <c r="AM10" s="128"/>
      <c r="AN10" s="1600" t="s">
        <v>136</v>
      </c>
      <c r="AO10" s="1601"/>
      <c r="AP10" s="1601"/>
      <c r="AQ10" s="1602">
        <f>SUM(AQ7:AQ9)</f>
        <v>20600</v>
      </c>
      <c r="AR10" s="1068"/>
      <c r="AS10" s="1059" t="s">
        <v>158</v>
      </c>
      <c r="AT10" s="1029">
        <v>1</v>
      </c>
      <c r="AU10" s="131">
        <v>1500</v>
      </c>
      <c r="AV10" s="117">
        <f>AT10*AU10</f>
        <v>1500</v>
      </c>
      <c r="AX10" s="1054" t="s">
        <v>613</v>
      </c>
      <c r="AY10" s="1055"/>
      <c r="AZ10" s="1055"/>
      <c r="BA10" s="1055"/>
      <c r="BB10" s="1048"/>
      <c r="BC10" s="1071"/>
      <c r="BD10" s="1922"/>
      <c r="BE10" s="1923"/>
      <c r="BF10" s="1924"/>
      <c r="BH10" s="1588" t="s">
        <v>733</v>
      </c>
      <c r="BI10" s="1535"/>
      <c r="BJ10" s="137">
        <v>10</v>
      </c>
      <c r="BK10" s="1589">
        <v>150</v>
      </c>
      <c r="BL10" s="1590">
        <f>BJ10*BK10</f>
        <v>1500</v>
      </c>
      <c r="BM10" s="1603"/>
      <c r="BO10" s="1074" t="s">
        <v>267</v>
      </c>
      <c r="BP10" s="1022">
        <v>1</v>
      </c>
      <c r="BQ10" s="1596">
        <v>2500</v>
      </c>
      <c r="BR10" s="1597">
        <v>2500</v>
      </c>
      <c r="BS10" s="1604"/>
      <c r="BT10" s="1605"/>
      <c r="BU10" s="1606"/>
    </row>
    <row r="11" spans="2:73" ht="16.5" thickTop="1" thickBot="1" x14ac:dyDescent="0.3">
      <c r="B11" s="1607" t="s">
        <v>24</v>
      </c>
      <c r="C11" s="1608">
        <f>SUM(C8:C10)</f>
        <v>65000</v>
      </c>
      <c r="D11" s="128"/>
      <c r="E11" s="1072" t="s">
        <v>78</v>
      </c>
      <c r="F11" s="1044"/>
      <c r="G11" s="178"/>
      <c r="H11" s="178"/>
      <c r="I11" s="150"/>
      <c r="J11" s="1570" t="s">
        <v>24</v>
      </c>
      <c r="K11" s="1571"/>
      <c r="L11" s="1572"/>
      <c r="M11" s="224">
        <f>SUM(M6:M10)</f>
        <v>11700</v>
      </c>
      <c r="N11" s="154"/>
      <c r="O11" s="1515" t="s">
        <v>171</v>
      </c>
      <c r="P11" s="1516"/>
      <c r="Q11" s="1013"/>
      <c r="R11" s="242">
        <v>9</v>
      </c>
      <c r="S11" s="243">
        <v>250</v>
      </c>
      <c r="T11" s="138">
        <f t="shared" si="0"/>
        <v>2250</v>
      </c>
      <c r="U11" s="128"/>
      <c r="V11" s="1096" t="s">
        <v>734</v>
      </c>
      <c r="W11" s="185">
        <f>(300*75)</f>
        <v>22500</v>
      </c>
      <c r="X11" s="154"/>
      <c r="Y11" s="1072" t="s">
        <v>78</v>
      </c>
      <c r="Z11" s="1044"/>
      <c r="AA11" s="178"/>
      <c r="AB11" s="178"/>
      <c r="AC11" s="1073"/>
      <c r="AD11" s="1022" t="s">
        <v>614</v>
      </c>
      <c r="AE11" s="184">
        <f>3*1000</f>
        <v>3000</v>
      </c>
      <c r="AF11" s="1073"/>
      <c r="AG11" s="1570" t="s">
        <v>135</v>
      </c>
      <c r="AH11" s="1571"/>
      <c r="AI11" s="1572"/>
      <c r="AJ11" s="1609">
        <f>SUM(AJ4:AJ10)</f>
        <v>137</v>
      </c>
      <c r="AK11" s="1609"/>
      <c r="AL11" s="1608">
        <f>SUM(AL4:AL10)</f>
        <v>86910</v>
      </c>
      <c r="AM11" s="154"/>
      <c r="AN11" s="637"/>
      <c r="AO11" s="1093"/>
      <c r="AP11" s="1094"/>
      <c r="AQ11" s="195"/>
      <c r="AR11" s="1073"/>
      <c r="AS11" s="1059" t="s">
        <v>159</v>
      </c>
      <c r="AT11" s="1029">
        <v>2</v>
      </c>
      <c r="AU11" s="131">
        <v>1000</v>
      </c>
      <c r="AV11" s="117">
        <f>AT11*AU11</f>
        <v>2000</v>
      </c>
      <c r="AX11" s="1074" t="s">
        <v>615</v>
      </c>
      <c r="AY11" s="1022">
        <v>1</v>
      </c>
      <c r="AZ11" s="1037"/>
      <c r="BA11" s="1075">
        <v>5000</v>
      </c>
      <c r="BB11" s="1736"/>
      <c r="BC11" s="1076">
        <f t="shared" ref="BC11:BC30" si="1">AY11*BA11</f>
        <v>5000</v>
      </c>
      <c r="BD11" s="1957"/>
      <c r="BE11" s="1958"/>
      <c r="BF11" s="1959"/>
      <c r="BH11" s="1610" t="s">
        <v>735</v>
      </c>
      <c r="BI11" s="1611"/>
      <c r="BJ11" s="1612"/>
      <c r="BK11" s="1613"/>
      <c r="BL11" s="1614"/>
      <c r="BM11" s="1615">
        <f>SUM(BL6:BL10)</f>
        <v>10200</v>
      </c>
      <c r="BO11" s="1074" t="s">
        <v>736</v>
      </c>
      <c r="BP11" s="1022">
        <v>1</v>
      </c>
      <c r="BQ11" s="1596">
        <v>2500</v>
      </c>
      <c r="BR11" s="1597">
        <v>2500</v>
      </c>
      <c r="BS11" s="1604"/>
      <c r="BT11" s="1605"/>
      <c r="BU11" s="1606"/>
    </row>
    <row r="12" spans="2:73" ht="16.5" thickTop="1" thickBot="1" x14ac:dyDescent="0.3">
      <c r="B12" s="1086"/>
      <c r="C12" s="1616"/>
      <c r="D12" s="1617"/>
      <c r="E12" s="1960" t="s">
        <v>81</v>
      </c>
      <c r="F12" s="1961"/>
      <c r="G12" s="1962"/>
      <c r="H12" s="179">
        <v>0</v>
      </c>
      <c r="I12" s="144"/>
      <c r="J12" s="1036"/>
      <c r="K12" s="1077"/>
      <c r="L12" s="1077"/>
      <c r="M12" s="1078"/>
      <c r="O12" s="1079" t="s">
        <v>173</v>
      </c>
      <c r="P12" s="1080"/>
      <c r="Q12" s="1081"/>
      <c r="R12" s="245"/>
      <c r="S12" s="245"/>
      <c r="T12" s="246">
        <f>SUM(T5:T11)</f>
        <v>27000</v>
      </c>
      <c r="U12" s="1618"/>
      <c r="V12" s="1096" t="s">
        <v>737</v>
      </c>
      <c r="W12" s="185">
        <f>(300*35)</f>
        <v>10500</v>
      </c>
      <c r="Y12" s="1960" t="s">
        <v>81</v>
      </c>
      <c r="Z12" s="1961"/>
      <c r="AA12" s="1962"/>
      <c r="AB12" s="179"/>
      <c r="AC12" s="1073"/>
      <c r="AD12" s="1022" t="s">
        <v>121</v>
      </c>
      <c r="AE12" s="184">
        <f>2*500</f>
        <v>1000</v>
      </c>
      <c r="AF12" s="1073"/>
      <c r="AG12" s="1082"/>
      <c r="AH12" s="1083"/>
      <c r="AI12" s="1084"/>
      <c r="AJ12" s="202"/>
      <c r="AK12" s="202"/>
      <c r="AL12" s="203"/>
      <c r="AN12" s="1029" t="s">
        <v>738</v>
      </c>
      <c r="AO12" s="110">
        <v>300</v>
      </c>
      <c r="AP12" s="197">
        <v>30</v>
      </c>
      <c r="AQ12" s="196">
        <f>(AO12*AP12)</f>
        <v>9000</v>
      </c>
      <c r="AR12" s="1073"/>
      <c r="AS12" s="1059" t="s">
        <v>131</v>
      </c>
      <c r="AT12" s="1029">
        <v>8</v>
      </c>
      <c r="AU12" s="132">
        <v>450</v>
      </c>
      <c r="AV12" s="136">
        <f>AT12*AU12</f>
        <v>3600</v>
      </c>
      <c r="AX12" s="1059" t="s">
        <v>616</v>
      </c>
      <c r="AY12" s="1029">
        <v>1</v>
      </c>
      <c r="AZ12" s="1013"/>
      <c r="BA12" s="1085">
        <v>2500</v>
      </c>
      <c r="BB12" s="1736"/>
      <c r="BC12" s="1076">
        <f t="shared" si="1"/>
        <v>2500</v>
      </c>
      <c r="BD12" s="1897"/>
      <c r="BE12" s="1898"/>
      <c r="BF12" s="1899"/>
      <c r="BH12" s="1588" t="s">
        <v>739</v>
      </c>
      <c r="BI12" s="1535"/>
      <c r="BJ12" s="137">
        <v>1</v>
      </c>
      <c r="BK12" s="410">
        <v>0</v>
      </c>
      <c r="BL12" s="1590">
        <v>0</v>
      </c>
      <c r="BM12" s="1619"/>
      <c r="BO12" s="1059" t="s">
        <v>740</v>
      </c>
      <c r="BP12" s="1029">
        <v>20</v>
      </c>
      <c r="BQ12" s="1620">
        <v>650</v>
      </c>
      <c r="BR12" s="1597">
        <f>BP12*BQ12</f>
        <v>13000</v>
      </c>
      <c r="BS12" s="1897" t="s">
        <v>741</v>
      </c>
      <c r="BT12" s="1898"/>
      <c r="BU12" s="1899"/>
    </row>
    <row r="13" spans="2:73" ht="15" x14ac:dyDescent="0.25">
      <c r="B13" s="1621" t="s">
        <v>164</v>
      </c>
      <c r="C13" s="1622">
        <v>5</v>
      </c>
      <c r="D13" s="1623"/>
      <c r="E13" s="1097"/>
      <c r="F13" s="1098"/>
      <c r="G13" s="1098"/>
      <c r="H13" s="1099"/>
      <c r="I13" s="151"/>
      <c r="J13" s="1515" t="s">
        <v>231</v>
      </c>
      <c r="K13" s="1624">
        <v>8.2500000000000004E-2</v>
      </c>
      <c r="L13" s="1516"/>
      <c r="M13" s="130">
        <f>(6500*K13)</f>
        <v>536.25</v>
      </c>
      <c r="N13" s="128"/>
      <c r="O13" s="1012" t="s">
        <v>174</v>
      </c>
      <c r="P13" s="1516"/>
      <c r="Q13" s="1013"/>
      <c r="R13" s="242"/>
      <c r="S13" s="243"/>
      <c r="T13" s="138"/>
      <c r="U13" s="1598"/>
      <c r="V13" s="1625" t="s">
        <v>742</v>
      </c>
      <c r="W13" s="1626">
        <f>SUM(W11:W12)</f>
        <v>33000</v>
      </c>
      <c r="X13" s="128"/>
      <c r="Y13" s="1088"/>
      <c r="Z13" s="1088"/>
      <c r="AA13" s="1088"/>
      <c r="AB13" s="182"/>
      <c r="AC13" s="1089"/>
      <c r="AD13" s="1022" t="s">
        <v>144</v>
      </c>
      <c r="AE13" s="184">
        <f>2*500</f>
        <v>1000</v>
      </c>
      <c r="AF13" s="1089"/>
      <c r="AG13" s="1036"/>
      <c r="AH13" s="1083"/>
      <c r="AI13" s="1084"/>
      <c r="AJ13" s="1627"/>
      <c r="AK13" s="1627"/>
      <c r="AL13" s="1628"/>
      <c r="AM13" s="128"/>
      <c r="AN13" s="1029" t="s">
        <v>743</v>
      </c>
      <c r="AO13" s="262">
        <v>250</v>
      </c>
      <c r="AP13" s="197">
        <v>40</v>
      </c>
      <c r="AQ13" s="196">
        <f>(AO13*AP13)</f>
        <v>10000</v>
      </c>
      <c r="AR13" s="1089"/>
      <c r="AS13" s="1095" t="s">
        <v>160</v>
      </c>
      <c r="AT13" s="1096">
        <v>8</v>
      </c>
      <c r="AU13" s="233">
        <v>150</v>
      </c>
      <c r="AV13" s="234">
        <f>AT13*AU13</f>
        <v>1200</v>
      </c>
      <c r="AX13" s="1059" t="s">
        <v>617</v>
      </c>
      <c r="AY13" s="1029">
        <v>1</v>
      </c>
      <c r="AZ13" s="1013"/>
      <c r="BA13" s="1085">
        <v>2000</v>
      </c>
      <c r="BB13" s="1736"/>
      <c r="BC13" s="1076">
        <f t="shared" si="1"/>
        <v>2000</v>
      </c>
      <c r="BD13" s="1954"/>
      <c r="BE13" s="1955"/>
      <c r="BF13" s="1956"/>
      <c r="BH13" s="1588" t="s">
        <v>744</v>
      </c>
      <c r="BI13" s="1535"/>
      <c r="BJ13" s="137">
        <v>161</v>
      </c>
      <c r="BK13" s="1629">
        <v>25</v>
      </c>
      <c r="BL13" s="1590">
        <f>BJ13*BK13</f>
        <v>4025</v>
      </c>
      <c r="BM13" s="1619"/>
      <c r="BO13" s="1059" t="s">
        <v>745</v>
      </c>
      <c r="BP13" s="1029">
        <v>14</v>
      </c>
      <c r="BQ13" s="1620">
        <v>500</v>
      </c>
      <c r="BR13" s="1597">
        <f>BP13*BQ13</f>
        <v>7000</v>
      </c>
      <c r="BS13" s="1954" t="s">
        <v>746</v>
      </c>
      <c r="BT13" s="1955"/>
      <c r="BU13" s="1956"/>
    </row>
    <row r="14" spans="2:73" ht="36.75" customHeight="1" thickBot="1" x14ac:dyDescent="0.3">
      <c r="B14" s="1630" t="s">
        <v>143</v>
      </c>
      <c r="C14" s="1631">
        <v>10</v>
      </c>
      <c r="D14" s="1632"/>
      <c r="E14" s="1900" t="s">
        <v>24</v>
      </c>
      <c r="F14" s="1901"/>
      <c r="G14" s="1902"/>
      <c r="H14" s="171">
        <f>SUM(H13:H13)</f>
        <v>0</v>
      </c>
      <c r="I14" s="152"/>
      <c r="J14" s="1036" t="s">
        <v>232</v>
      </c>
      <c r="K14" s="1077"/>
      <c r="L14" s="1077"/>
      <c r="M14" s="130">
        <v>1500</v>
      </c>
      <c r="N14" s="128"/>
      <c r="O14" s="1515" t="s">
        <v>177</v>
      </c>
      <c r="P14" s="1516"/>
      <c r="Q14" s="1013"/>
      <c r="R14" s="200">
        <v>2</v>
      </c>
      <c r="S14" s="244">
        <v>2000</v>
      </c>
      <c r="T14" s="138">
        <f>R14*S14</f>
        <v>4000</v>
      </c>
      <c r="U14" s="1598"/>
      <c r="V14" s="1625"/>
      <c r="W14" s="1626"/>
      <c r="X14" s="128"/>
      <c r="Y14" s="1900" t="s">
        <v>24</v>
      </c>
      <c r="Z14" s="1901"/>
      <c r="AA14" s="1902"/>
      <c r="AB14" s="171">
        <v>0</v>
      </c>
      <c r="AC14" s="1073"/>
      <c r="AD14" s="1022" t="s">
        <v>122</v>
      </c>
      <c r="AE14" s="184">
        <f>4*500</f>
        <v>2000</v>
      </c>
      <c r="AF14" s="1073"/>
      <c r="AG14" s="1082" t="s">
        <v>126</v>
      </c>
      <c r="AH14" s="1083"/>
      <c r="AI14" s="1084"/>
      <c r="AJ14" s="202"/>
      <c r="AK14" s="202"/>
      <c r="AL14" s="1633">
        <v>4000</v>
      </c>
      <c r="AM14" s="128"/>
      <c r="AN14" s="1029" t="s">
        <v>269</v>
      </c>
      <c r="AO14" s="110">
        <v>75</v>
      </c>
      <c r="AP14" s="197">
        <v>15</v>
      </c>
      <c r="AQ14" s="196">
        <f>AO14*AP14</f>
        <v>1125</v>
      </c>
      <c r="AR14" s="1073"/>
      <c r="AS14" s="1506" t="s">
        <v>67</v>
      </c>
      <c r="AT14" s="1507"/>
      <c r="AU14" s="1508"/>
      <c r="AV14" s="171">
        <f>SUM(AV9:AV13)</f>
        <v>11300</v>
      </c>
      <c r="AX14" s="1842" t="s">
        <v>840</v>
      </c>
      <c r="AY14" s="1843"/>
      <c r="AZ14" s="1844"/>
      <c r="BA14" s="1845"/>
      <c r="BB14" s="1846"/>
      <c r="BC14" s="1847">
        <f>4000</f>
        <v>4000</v>
      </c>
      <c r="BD14" s="1848"/>
      <c r="BE14" s="1849"/>
      <c r="BF14" s="1850"/>
      <c r="BH14" s="1588" t="s">
        <v>747</v>
      </c>
      <c r="BI14" s="1535"/>
      <c r="BJ14" s="137">
        <v>96</v>
      </c>
      <c r="BK14" s="1629">
        <v>35</v>
      </c>
      <c r="BL14" s="1590">
        <f>BJ14*BK14</f>
        <v>3360</v>
      </c>
      <c r="BM14" s="1619"/>
      <c r="BO14" s="1059" t="s">
        <v>748</v>
      </c>
      <c r="BP14" s="1029">
        <v>2</v>
      </c>
      <c r="BQ14" s="1620">
        <v>100</v>
      </c>
      <c r="BR14" s="1597">
        <f>BP14*BQ14</f>
        <v>200</v>
      </c>
      <c r="BS14" s="1897"/>
      <c r="BT14" s="1898"/>
      <c r="BU14" s="1899"/>
    </row>
    <row r="15" spans="2:73" ht="27" customHeight="1" thickBot="1" x14ac:dyDescent="0.3">
      <c r="B15" s="1086"/>
      <c r="C15" s="1616"/>
      <c r="D15" s="1634"/>
      <c r="E15" s="1100"/>
      <c r="F15" s="1101"/>
      <c r="G15" s="1101"/>
      <c r="H15" s="1102"/>
      <c r="I15" s="150"/>
      <c r="J15" s="1515" t="s">
        <v>228</v>
      </c>
      <c r="K15" s="1516">
        <v>250</v>
      </c>
      <c r="L15" s="181">
        <v>20</v>
      </c>
      <c r="M15" s="116">
        <f>(K15*L15)</f>
        <v>5000</v>
      </c>
      <c r="N15" s="141"/>
      <c r="O15" s="1515" t="s">
        <v>176</v>
      </c>
      <c r="P15" s="1516"/>
      <c r="Q15" s="1013"/>
      <c r="R15" s="200">
        <v>5</v>
      </c>
      <c r="S15" s="244">
        <v>1000</v>
      </c>
      <c r="T15" s="138">
        <f>R15*S15</f>
        <v>5000</v>
      </c>
      <c r="U15" s="1598"/>
      <c r="V15" s="1635" t="s">
        <v>10</v>
      </c>
      <c r="W15" s="1636">
        <f>W9+W13</f>
        <v>48450</v>
      </c>
      <c r="X15" s="141"/>
      <c r="Y15" s="1100"/>
      <c r="Z15" s="1101"/>
      <c r="AA15" s="1101"/>
      <c r="AB15" s="1102"/>
      <c r="AC15" s="1089"/>
      <c r="AD15" s="1096" t="s">
        <v>749</v>
      </c>
      <c r="AE15" s="185">
        <f>20*250</f>
        <v>5000</v>
      </c>
      <c r="AF15" s="1089"/>
      <c r="AG15" s="1036"/>
      <c r="AH15" s="1083"/>
      <c r="AI15" s="1084"/>
      <c r="AJ15" s="1627"/>
      <c r="AK15" s="1627"/>
      <c r="AL15" s="1628"/>
      <c r="AM15" s="141"/>
      <c r="AN15" s="1525" t="s">
        <v>11</v>
      </c>
      <c r="AO15" s="1526"/>
      <c r="AP15" s="1527"/>
      <c r="AQ15" s="1602">
        <f>SUM(AQ12:AQ14)</f>
        <v>20125</v>
      </c>
      <c r="AR15" s="1089"/>
      <c r="AS15" s="1103" t="s">
        <v>78</v>
      </c>
      <c r="AT15" s="1104"/>
      <c r="AU15" s="1105"/>
      <c r="AV15" s="191"/>
      <c r="AX15" s="1059" t="s">
        <v>618</v>
      </c>
      <c r="AY15" s="1029">
        <v>3</v>
      </c>
      <c r="AZ15" s="1013"/>
      <c r="BA15" s="1085">
        <f>600</f>
        <v>600</v>
      </c>
      <c r="BB15" s="1736"/>
      <c r="BC15" s="1076">
        <f t="shared" si="1"/>
        <v>1800</v>
      </c>
      <c r="BD15" s="1954" t="s">
        <v>804</v>
      </c>
      <c r="BE15" s="1955"/>
      <c r="BF15" s="1956"/>
      <c r="BH15" s="1588" t="s">
        <v>750</v>
      </c>
      <c r="BI15" s="1535"/>
      <c r="BJ15" s="137">
        <v>41</v>
      </c>
      <c r="BK15" s="1629">
        <v>2</v>
      </c>
      <c r="BL15" s="1590">
        <f>(BK15*BJ15)</f>
        <v>82</v>
      </c>
      <c r="BM15" s="1619"/>
      <c r="BO15" s="1059" t="s">
        <v>160</v>
      </c>
      <c r="BP15" s="1029"/>
      <c r="BQ15" s="1620"/>
      <c r="BR15" s="1597"/>
      <c r="BS15" s="1897"/>
      <c r="BT15" s="1898"/>
      <c r="BU15" s="1899"/>
    </row>
    <row r="16" spans="2:73" ht="23.25" customHeight="1" thickTop="1" thickBot="1" x14ac:dyDescent="0.3">
      <c r="B16" s="173" t="s">
        <v>89</v>
      </c>
      <c r="C16" s="130"/>
      <c r="D16" s="1623"/>
      <c r="E16" s="1106" t="s">
        <v>4</v>
      </c>
      <c r="F16" s="1107"/>
      <c r="G16" s="1108"/>
      <c r="H16" s="1109"/>
      <c r="I16" s="148"/>
      <c r="J16" s="1504" t="s">
        <v>243</v>
      </c>
      <c r="K16" s="1516"/>
      <c r="L16" s="1013"/>
      <c r="M16" s="116">
        <v>500</v>
      </c>
      <c r="N16" s="141"/>
      <c r="O16" s="1515" t="s">
        <v>175</v>
      </c>
      <c r="P16" s="1516"/>
      <c r="Q16" s="1013"/>
      <c r="R16" s="200">
        <v>1</v>
      </c>
      <c r="S16" s="244">
        <v>500</v>
      </c>
      <c r="T16" s="138">
        <f>R16*S16</f>
        <v>500</v>
      </c>
      <c r="U16" s="1598"/>
      <c r="V16" s="1637"/>
      <c r="W16" s="187"/>
      <c r="X16" s="141"/>
      <c r="Y16" s="1106" t="s">
        <v>4</v>
      </c>
      <c r="Z16" s="1107"/>
      <c r="AA16" s="1108"/>
      <c r="AB16" s="1109"/>
      <c r="AC16" s="299"/>
      <c r="AD16" s="1029" t="s">
        <v>242</v>
      </c>
      <c r="AE16" s="186">
        <f>10*100</f>
        <v>1000</v>
      </c>
      <c r="AF16" s="299"/>
      <c r="AG16" s="1889" t="s">
        <v>127</v>
      </c>
      <c r="AH16" s="1890"/>
      <c r="AI16" s="1921"/>
      <c r="AJ16" s="200">
        <v>1</v>
      </c>
      <c r="AK16" s="204">
        <v>5000</v>
      </c>
      <c r="AL16" s="130">
        <f>+AJ16*AK16</f>
        <v>5000</v>
      </c>
      <c r="AM16" s="141"/>
      <c r="AN16" s="637"/>
      <c r="AO16" s="1093"/>
      <c r="AP16" s="1117"/>
      <c r="AQ16" s="229"/>
      <c r="AR16" s="299"/>
      <c r="AS16" s="1090"/>
      <c r="AT16" s="1091"/>
      <c r="AU16" s="1091"/>
      <c r="AV16" s="1092"/>
      <c r="AX16" s="1059" t="s">
        <v>619</v>
      </c>
      <c r="AY16" s="1029">
        <v>3</v>
      </c>
      <c r="AZ16" s="1013"/>
      <c r="BA16" s="1085">
        <f>600</f>
        <v>600</v>
      </c>
      <c r="BB16" s="1736"/>
      <c r="BC16" s="1076">
        <f t="shared" si="1"/>
        <v>1800</v>
      </c>
      <c r="BD16" s="1954" t="s">
        <v>805</v>
      </c>
      <c r="BE16" s="1955"/>
      <c r="BF16" s="1956"/>
      <c r="BH16" s="1610" t="s">
        <v>751</v>
      </c>
      <c r="BI16" s="1611"/>
      <c r="BJ16" s="1612"/>
      <c r="BK16" s="1613"/>
      <c r="BL16" s="1614"/>
      <c r="BM16" s="1615">
        <f>SUM(BL12:BL14:BL15)</f>
        <v>7467</v>
      </c>
      <c r="BO16" s="1059"/>
      <c r="BP16" s="1029"/>
      <c r="BQ16" s="1620"/>
      <c r="BR16" s="1597"/>
      <c r="BS16" s="1897"/>
      <c r="BT16" s="1898"/>
      <c r="BU16" s="1899"/>
    </row>
    <row r="17" spans="2:73" ht="25.5" customHeight="1" thickTop="1" thickBot="1" x14ac:dyDescent="0.3">
      <c r="B17" s="173" t="s">
        <v>90</v>
      </c>
      <c r="C17" s="130">
        <f>(C4+C6+C13+C14)*66.625</f>
        <v>42640</v>
      </c>
      <c r="D17" s="1569"/>
      <c r="E17" s="1113" t="s">
        <v>118</v>
      </c>
      <c r="F17" s="142"/>
      <c r="G17" s="1114"/>
      <c r="H17" s="119">
        <v>6000</v>
      </c>
      <c r="I17" s="148"/>
      <c r="J17" s="1504" t="s">
        <v>233</v>
      </c>
      <c r="K17" s="1516"/>
      <c r="L17" s="1013"/>
      <c r="M17" s="116">
        <v>400</v>
      </c>
      <c r="N17" s="141"/>
      <c r="O17" s="1079" t="s">
        <v>178</v>
      </c>
      <c r="P17" s="1080"/>
      <c r="Q17" s="1081"/>
      <c r="R17" s="245"/>
      <c r="S17" s="245"/>
      <c r="T17" s="246">
        <f>SUM(T14:T16)</f>
        <v>9500</v>
      </c>
      <c r="U17" s="1638"/>
      <c r="V17" s="1022" t="s">
        <v>752</v>
      </c>
      <c r="W17" s="140">
        <v>7500</v>
      </c>
      <c r="X17" s="141"/>
      <c r="Y17" s="1113" t="s">
        <v>118</v>
      </c>
      <c r="Z17" s="142"/>
      <c r="AA17" s="1114"/>
      <c r="AB17" s="119">
        <v>6000</v>
      </c>
      <c r="AC17" s="141"/>
      <c r="AD17" s="1639" t="s">
        <v>32</v>
      </c>
      <c r="AE17" s="1411">
        <f>SUM(AE5:AE16)</f>
        <v>32550</v>
      </c>
      <c r="AF17" s="141"/>
      <c r="AG17" s="1889" t="s">
        <v>128</v>
      </c>
      <c r="AH17" s="1890"/>
      <c r="AI17" s="1921"/>
      <c r="AJ17" s="200">
        <v>2</v>
      </c>
      <c r="AK17" s="204">
        <v>2250</v>
      </c>
      <c r="AL17" s="130">
        <f>+AJ17*AK17</f>
        <v>4500</v>
      </c>
      <c r="AM17" s="141"/>
      <c r="AN17" s="1525" t="s">
        <v>10</v>
      </c>
      <c r="AO17" s="1526"/>
      <c r="AP17" s="1527"/>
      <c r="AQ17" s="1602">
        <f>AQ6+AQ10+AQ15</f>
        <v>53625</v>
      </c>
      <c r="AR17" s="141"/>
      <c r="AS17" s="1041" t="s">
        <v>82</v>
      </c>
      <c r="AT17" s="1042"/>
      <c r="AU17" s="1043"/>
      <c r="AV17" s="225">
        <f>SUM(AV14:AV15)</f>
        <v>11300</v>
      </c>
      <c r="AX17" s="1110" t="s">
        <v>808</v>
      </c>
      <c r="AY17" s="1111">
        <v>1</v>
      </c>
      <c r="AZ17" s="1730"/>
      <c r="BA17" s="1112">
        <v>500</v>
      </c>
      <c r="BB17" s="1737"/>
      <c r="BC17" s="1076">
        <f t="shared" si="1"/>
        <v>500</v>
      </c>
      <c r="BD17" s="1954" t="s">
        <v>805</v>
      </c>
      <c r="BE17" s="1955"/>
      <c r="BF17" s="1956"/>
      <c r="BH17" s="1588"/>
      <c r="BI17" s="1535"/>
      <c r="BJ17" s="137"/>
      <c r="BK17" s="410"/>
      <c r="BL17" s="409"/>
      <c r="BM17" s="1640"/>
      <c r="BO17" s="1059"/>
      <c r="BP17" s="1029"/>
      <c r="BQ17" s="1620"/>
      <c r="BR17" s="1597"/>
      <c r="BS17" s="1897"/>
      <c r="BT17" s="1898"/>
      <c r="BU17" s="1899"/>
    </row>
    <row r="18" spans="2:73" ht="29.25" customHeight="1" x14ac:dyDescent="0.25">
      <c r="B18" s="1746" t="s">
        <v>91</v>
      </c>
      <c r="C18" s="1747">
        <f>6*199.875</f>
        <v>1199.25</v>
      </c>
      <c r="D18" s="1569"/>
      <c r="E18" s="1116"/>
      <c r="F18" s="143"/>
      <c r="G18" s="1064"/>
      <c r="H18" s="119"/>
      <c r="I18" s="148"/>
      <c r="J18" s="1515" t="s">
        <v>64</v>
      </c>
      <c r="K18" s="1516"/>
      <c r="L18" s="1013"/>
      <c r="M18" s="116">
        <v>400</v>
      </c>
      <c r="N18" s="141"/>
      <c r="O18" s="1012" t="s">
        <v>179</v>
      </c>
      <c r="P18" s="1516"/>
      <c r="Q18" s="1013"/>
      <c r="R18" s="242"/>
      <c r="S18" s="243"/>
      <c r="T18" s="138"/>
      <c r="U18" s="1573"/>
      <c r="V18" s="1022" t="s">
        <v>113</v>
      </c>
      <c r="W18" s="140">
        <v>1250</v>
      </c>
      <c r="X18" s="141"/>
      <c r="Y18" s="1116"/>
      <c r="Z18" s="143"/>
      <c r="AA18" s="1064"/>
      <c r="AB18" s="119"/>
      <c r="AC18" s="141"/>
      <c r="AD18" s="1599"/>
      <c r="AE18" s="238"/>
      <c r="AF18" s="141"/>
      <c r="AG18" s="1889" t="s">
        <v>129</v>
      </c>
      <c r="AH18" s="1890"/>
      <c r="AI18" s="1921"/>
      <c r="AJ18" s="200">
        <v>9</v>
      </c>
      <c r="AK18" s="204">
        <v>1650</v>
      </c>
      <c r="AL18" s="130">
        <f>+AJ18*AK18</f>
        <v>14850</v>
      </c>
      <c r="AM18" s="141"/>
      <c r="AN18" s="1119"/>
      <c r="AO18" s="1120"/>
      <c r="AP18" s="1121"/>
      <c r="AQ18" s="198"/>
      <c r="AR18" s="141"/>
      <c r="AS18" s="1100"/>
      <c r="AT18" s="1101"/>
      <c r="AU18" s="1101"/>
      <c r="AV18" s="1102"/>
      <c r="AX18" s="1059" t="s">
        <v>809</v>
      </c>
      <c r="AY18" s="1029">
        <v>1</v>
      </c>
      <c r="AZ18" s="1013"/>
      <c r="BA18" s="1115">
        <v>500</v>
      </c>
      <c r="BB18" s="1738"/>
      <c r="BC18" s="1076">
        <f t="shared" si="1"/>
        <v>500</v>
      </c>
      <c r="BD18" s="1954" t="s">
        <v>805</v>
      </c>
      <c r="BE18" s="1955"/>
      <c r="BF18" s="1956"/>
      <c r="BH18" s="1641" t="s">
        <v>10</v>
      </c>
      <c r="BI18" s="1642"/>
      <c r="BJ18" s="1642"/>
      <c r="BK18" s="853"/>
      <c r="BL18" s="853"/>
      <c r="BM18" s="1643">
        <f>SUM(BM5:BM17)</f>
        <v>33167</v>
      </c>
      <c r="BO18" s="1110"/>
      <c r="BP18" s="1111"/>
      <c r="BQ18" s="1644"/>
      <c r="BR18" s="1597"/>
      <c r="BS18" s="1897"/>
      <c r="BT18" s="1898"/>
      <c r="BU18" s="1899"/>
    </row>
    <row r="19" spans="2:73" s="1773" customFormat="1" ht="28.5" customHeight="1" thickBot="1" x14ac:dyDescent="0.3">
      <c r="B19" s="173" t="s">
        <v>92</v>
      </c>
      <c r="C19" s="130">
        <v>0</v>
      </c>
      <c r="D19" s="1748"/>
      <c r="E19" s="1749" t="s">
        <v>753</v>
      </c>
      <c r="F19" s="1750"/>
      <c r="G19" s="1751"/>
      <c r="H19" s="1752">
        <v>75</v>
      </c>
      <c r="I19" s="1753"/>
      <c r="J19" s="1754" t="s">
        <v>139</v>
      </c>
      <c r="K19" s="1755"/>
      <c r="L19" s="1756"/>
      <c r="M19" s="1757">
        <v>1650</v>
      </c>
      <c r="N19" s="1758"/>
      <c r="O19" s="1754" t="s">
        <v>180</v>
      </c>
      <c r="P19" s="1755"/>
      <c r="Q19" s="1756"/>
      <c r="R19" s="1759">
        <v>200</v>
      </c>
      <c r="S19" s="1760">
        <v>80</v>
      </c>
      <c r="T19" s="1761">
        <f>R19*S19</f>
        <v>16000</v>
      </c>
      <c r="U19" s="1762"/>
      <c r="V19" s="1763" t="s">
        <v>754</v>
      </c>
      <c r="W19" s="1764">
        <f>(500*11.95)</f>
        <v>5975</v>
      </c>
      <c r="X19" s="1758"/>
      <c r="Y19" s="1749" t="s">
        <v>753</v>
      </c>
      <c r="Z19" s="1750"/>
      <c r="AA19" s="1751"/>
      <c r="AB19" s="1752">
        <v>75</v>
      </c>
      <c r="AC19" s="1758"/>
      <c r="AD19" s="1765" t="s">
        <v>755</v>
      </c>
      <c r="AE19" s="1766">
        <f>(300*25)+(45*35)</f>
        <v>9075</v>
      </c>
      <c r="AF19" s="1758"/>
      <c r="AG19" s="1948" t="s">
        <v>240</v>
      </c>
      <c r="AH19" s="1949"/>
      <c r="AI19" s="1950"/>
      <c r="AJ19" s="1759">
        <v>11</v>
      </c>
      <c r="AK19" s="1767">
        <v>600</v>
      </c>
      <c r="AL19" s="1747">
        <f>+AJ19*AK19</f>
        <v>6600</v>
      </c>
      <c r="AM19" s="1758"/>
      <c r="AN19" s="1768" t="s">
        <v>228</v>
      </c>
      <c r="AO19" s="1720"/>
      <c r="AP19" s="1721"/>
      <c r="AQ19" s="1747">
        <f>200*15</f>
        <v>3000</v>
      </c>
      <c r="AR19" s="1758"/>
      <c r="AS19" s="1769" t="s">
        <v>4</v>
      </c>
      <c r="AT19" s="1770"/>
      <c r="AU19" s="1771"/>
      <c r="AV19" s="1772"/>
      <c r="AX19" s="1059" t="s">
        <v>620</v>
      </c>
      <c r="AY19" s="1029">
        <v>1</v>
      </c>
      <c r="AZ19" s="1013"/>
      <c r="BA19" s="1115">
        <v>1000</v>
      </c>
      <c r="BB19" s="1738"/>
      <c r="BC19" s="1076">
        <f t="shared" si="1"/>
        <v>1000</v>
      </c>
      <c r="BD19" s="1951" t="s">
        <v>810</v>
      </c>
      <c r="BE19" s="1952"/>
      <c r="BF19" s="1953"/>
      <c r="BH19" s="1778" t="s">
        <v>756</v>
      </c>
      <c r="BI19" s="1779"/>
      <c r="BJ19" s="1779"/>
      <c r="BK19" s="1779">
        <v>4</v>
      </c>
      <c r="BL19" s="1780">
        <v>35</v>
      </c>
      <c r="BM19" s="1781">
        <f>BK19*BL19</f>
        <v>140</v>
      </c>
      <c r="BO19" s="1774"/>
      <c r="BP19" s="1763"/>
      <c r="BQ19" s="1782"/>
      <c r="BR19" s="1783"/>
      <c r="BS19" s="1954"/>
      <c r="BT19" s="1955"/>
      <c r="BU19" s="1956"/>
    </row>
    <row r="20" spans="2:73" ht="27" customHeight="1" thickTop="1" thickBot="1" x14ac:dyDescent="0.3">
      <c r="B20" s="173" t="s">
        <v>59</v>
      </c>
      <c r="C20" s="130"/>
      <c r="D20" s="1569"/>
      <c r="E20" s="1116"/>
      <c r="F20" s="143"/>
      <c r="G20" s="1118"/>
      <c r="H20" s="119"/>
      <c r="I20" s="148"/>
      <c r="J20" s="1515" t="s">
        <v>140</v>
      </c>
      <c r="K20" s="1516"/>
      <c r="L20" s="1013"/>
      <c r="M20" s="116">
        <v>250</v>
      </c>
      <c r="N20" s="141"/>
      <c r="O20" s="1515" t="s">
        <v>181</v>
      </c>
      <c r="P20" s="1516"/>
      <c r="Q20" s="1013"/>
      <c r="R20" s="200">
        <v>50</v>
      </c>
      <c r="S20" s="244">
        <v>40</v>
      </c>
      <c r="T20" s="138">
        <f>R20*S20</f>
        <v>2000</v>
      </c>
      <c r="U20" s="1569"/>
      <c r="V20" s="1029" t="s">
        <v>757</v>
      </c>
      <c r="W20" s="140">
        <v>700</v>
      </c>
      <c r="X20" s="240"/>
      <c r="Y20" s="1116"/>
      <c r="Z20" s="143"/>
      <c r="AA20" s="1118"/>
      <c r="AB20" s="119"/>
      <c r="AC20" s="141"/>
      <c r="AD20" s="1646" t="s">
        <v>24</v>
      </c>
      <c r="AE20" s="1411">
        <f>AE17+AE19</f>
        <v>41625</v>
      </c>
      <c r="AF20" s="141"/>
      <c r="AG20" s="1889" t="s">
        <v>138</v>
      </c>
      <c r="AH20" s="1890"/>
      <c r="AI20" s="1921"/>
      <c r="AJ20" s="200">
        <v>10</v>
      </c>
      <c r="AK20" s="204">
        <v>150</v>
      </c>
      <c r="AL20" s="130">
        <f>+AJ20*AK20</f>
        <v>1500</v>
      </c>
      <c r="AM20" s="141"/>
      <c r="AN20" s="1504" t="s">
        <v>98</v>
      </c>
      <c r="AO20" s="1505"/>
      <c r="AP20" s="1518"/>
      <c r="AQ20" s="116">
        <v>1200</v>
      </c>
      <c r="AR20" s="141"/>
      <c r="AS20" s="1074" t="s">
        <v>63</v>
      </c>
      <c r="AT20" s="142"/>
      <c r="AU20" s="118"/>
      <c r="AV20" s="193">
        <v>350</v>
      </c>
      <c r="AX20" s="1774" t="s">
        <v>621</v>
      </c>
      <c r="AY20" s="1763">
        <v>4</v>
      </c>
      <c r="AZ20" s="1775"/>
      <c r="BA20" s="1776">
        <v>500</v>
      </c>
      <c r="BB20" s="1776"/>
      <c r="BC20" s="1777">
        <f t="shared" si="1"/>
        <v>2000</v>
      </c>
      <c r="BD20" s="1951" t="s">
        <v>811</v>
      </c>
      <c r="BE20" s="1952"/>
      <c r="BF20" s="1953"/>
      <c r="BH20" s="1536" t="s">
        <v>758</v>
      </c>
      <c r="BI20" s="1535"/>
      <c r="BJ20" s="1535"/>
      <c r="BK20" s="110">
        <v>124</v>
      </c>
      <c r="BL20" s="1645">
        <v>35</v>
      </c>
      <c r="BM20" s="1577">
        <f>BK20*BL20</f>
        <v>4340</v>
      </c>
      <c r="BO20" s="1647"/>
      <c r="BP20" s="1029"/>
      <c r="BQ20" s="1620"/>
      <c r="BR20" s="1648"/>
      <c r="BS20" s="1897"/>
      <c r="BT20" s="1898"/>
      <c r="BU20" s="1899"/>
    </row>
    <row r="21" spans="2:73" ht="15.75" thickTop="1" thickBot="1" x14ac:dyDescent="0.25">
      <c r="B21" s="173" t="s">
        <v>93</v>
      </c>
      <c r="C21" s="130">
        <f>8900*5%+8900</f>
        <v>9345</v>
      </c>
      <c r="D21" s="1569"/>
      <c r="E21" s="1116"/>
      <c r="F21" s="143"/>
      <c r="G21" s="1118"/>
      <c r="H21" s="119"/>
      <c r="I21" s="145"/>
      <c r="J21" s="1515" t="s">
        <v>65</v>
      </c>
      <c r="K21" s="1516"/>
      <c r="L21" s="1013"/>
      <c r="M21" s="116">
        <v>200</v>
      </c>
      <c r="N21" s="141"/>
      <c r="O21" s="1515" t="s">
        <v>182</v>
      </c>
      <c r="P21" s="1516"/>
      <c r="Q21" s="1013"/>
      <c r="R21" s="200">
        <v>50</v>
      </c>
      <c r="S21" s="244">
        <v>100</v>
      </c>
      <c r="T21" s="138">
        <f>R21*S21</f>
        <v>5000</v>
      </c>
      <c r="U21" s="1569"/>
      <c r="V21" s="1649" t="s">
        <v>759</v>
      </c>
      <c r="W21" s="140">
        <v>1791</v>
      </c>
      <c r="X21" s="240"/>
      <c r="Y21" s="1116"/>
      <c r="Z21" s="143"/>
      <c r="AA21" s="1118"/>
      <c r="AB21" s="119"/>
      <c r="AC21" s="141"/>
      <c r="AD21" s="1637"/>
      <c r="AE21" s="187"/>
      <c r="AF21" s="141"/>
      <c r="AG21" s="1570" t="s">
        <v>32</v>
      </c>
      <c r="AH21" s="1571"/>
      <c r="AI21" s="1572"/>
      <c r="AJ21" s="1650"/>
      <c r="AK21" s="1650"/>
      <c r="AL21" s="1651">
        <f>SUM(AL16:AL20)</f>
        <v>32450</v>
      </c>
      <c r="AM21" s="141"/>
      <c r="AN21" s="1504" t="s">
        <v>100</v>
      </c>
      <c r="AO21" s="1505"/>
      <c r="AP21" s="1518"/>
      <c r="AQ21" s="130">
        <v>2500</v>
      </c>
      <c r="AR21" s="141"/>
      <c r="AS21" s="1074" t="s">
        <v>262</v>
      </c>
      <c r="AT21" s="142">
        <f>AT5</f>
        <v>70</v>
      </c>
      <c r="AU21" s="192">
        <v>101</v>
      </c>
      <c r="AV21" s="119">
        <f>AT21*AU21</f>
        <v>7070</v>
      </c>
      <c r="AX21" s="1059" t="s">
        <v>622</v>
      </c>
      <c r="AY21" s="1029">
        <v>3</v>
      </c>
      <c r="AZ21" s="1013"/>
      <c r="BA21" s="1115">
        <v>250</v>
      </c>
      <c r="BB21" s="1738"/>
      <c r="BC21" s="1076">
        <f t="shared" si="1"/>
        <v>750</v>
      </c>
      <c r="BD21" s="1951" t="s">
        <v>812</v>
      </c>
      <c r="BE21" s="1952"/>
      <c r="BF21" s="1953"/>
      <c r="BH21" s="1536" t="s">
        <v>64</v>
      </c>
      <c r="BI21" s="1535"/>
      <c r="BJ21" s="1535"/>
      <c r="BK21" s="110"/>
      <c r="BL21" s="1590"/>
      <c r="BM21" s="1577">
        <v>600</v>
      </c>
      <c r="BO21" s="1059"/>
      <c r="BP21" s="1029"/>
      <c r="BQ21" s="1652"/>
      <c r="BR21" s="1653"/>
      <c r="BS21" s="1897"/>
      <c r="BT21" s="1898"/>
      <c r="BU21" s="1899"/>
    </row>
    <row r="22" spans="2:73" ht="15" thickTop="1" x14ac:dyDescent="0.2">
      <c r="B22" s="173" t="s">
        <v>28</v>
      </c>
      <c r="C22" s="130">
        <v>2000</v>
      </c>
      <c r="D22" s="1569"/>
      <c r="E22" s="1116"/>
      <c r="F22" s="143"/>
      <c r="G22" s="1118"/>
      <c r="H22" s="119"/>
      <c r="I22" s="148"/>
      <c r="J22" s="1515" t="s">
        <v>155</v>
      </c>
      <c r="K22" s="1516"/>
      <c r="L22" s="1013"/>
      <c r="M22" s="116">
        <v>150</v>
      </c>
      <c r="N22" s="141"/>
      <c r="O22" s="1515" t="s">
        <v>183</v>
      </c>
      <c r="P22" s="1516"/>
      <c r="Q22" s="1013"/>
      <c r="R22" s="242"/>
      <c r="S22" s="243">
        <v>100</v>
      </c>
      <c r="T22" s="130">
        <f>R22*S22</f>
        <v>0</v>
      </c>
      <c r="U22" s="1569"/>
      <c r="V22" s="1022" t="s">
        <v>760</v>
      </c>
      <c r="W22" s="140">
        <v>1231.31</v>
      </c>
      <c r="X22" s="240"/>
      <c r="Y22" s="1116"/>
      <c r="Z22" s="143"/>
      <c r="AA22" s="1118"/>
      <c r="AB22" s="119"/>
      <c r="AC22" s="141"/>
      <c r="AD22" s="1029" t="s">
        <v>761</v>
      </c>
      <c r="AE22" s="184">
        <f>(350)*32+(925+2910)</f>
        <v>15035</v>
      </c>
      <c r="AF22" s="141"/>
      <c r="AG22" s="1082"/>
      <c r="AH22" s="1083"/>
      <c r="AI22" s="1084"/>
      <c r="AJ22" s="1654"/>
      <c r="AK22" s="1654"/>
      <c r="AL22" s="205"/>
      <c r="AM22" s="141"/>
      <c r="AN22" s="1504" t="s">
        <v>137</v>
      </c>
      <c r="AO22" s="1505"/>
      <c r="AP22" s="1518"/>
      <c r="AQ22" s="130">
        <v>1800</v>
      </c>
      <c r="AR22" s="141"/>
      <c r="AS22" s="1059" t="s">
        <v>263</v>
      </c>
      <c r="AT22" s="143"/>
      <c r="AU22" s="47"/>
      <c r="AV22" s="119">
        <v>2000</v>
      </c>
      <c r="AX22" s="1059" t="s">
        <v>623</v>
      </c>
      <c r="AY22" s="1029"/>
      <c r="AZ22" s="1013"/>
      <c r="BA22" s="1115">
        <v>350</v>
      </c>
      <c r="BB22" s="1738"/>
      <c r="BC22" s="1076">
        <f t="shared" si="1"/>
        <v>0</v>
      </c>
      <c r="BD22" s="1897" t="s">
        <v>813</v>
      </c>
      <c r="BE22" s="1898"/>
      <c r="BF22" s="1899"/>
      <c r="BH22" s="1536" t="s">
        <v>762</v>
      </c>
      <c r="BI22" s="1535"/>
      <c r="BJ22" s="1535"/>
      <c r="BK22" s="1655"/>
      <c r="BL22" s="1656"/>
      <c r="BM22" s="1577">
        <v>6500</v>
      </c>
      <c r="BO22" s="1059"/>
      <c r="BP22" s="1029"/>
      <c r="BQ22" s="1620"/>
      <c r="BR22" s="1653"/>
      <c r="BS22" s="1897"/>
      <c r="BT22" s="1898"/>
      <c r="BU22" s="1899"/>
    </row>
    <row r="23" spans="2:73" ht="15" thickBot="1" x14ac:dyDescent="0.25">
      <c r="B23" s="173" t="s">
        <v>60</v>
      </c>
      <c r="C23" s="130">
        <v>0</v>
      </c>
      <c r="D23" s="1569"/>
      <c r="E23" s="1116"/>
      <c r="F23" s="143"/>
      <c r="G23" s="1118"/>
      <c r="H23" s="119"/>
      <c r="I23" s="148"/>
      <c r="J23" s="1515"/>
      <c r="K23" s="1516"/>
      <c r="L23" s="1013"/>
      <c r="M23" s="116"/>
      <c r="N23" s="141"/>
      <c r="O23" s="1079" t="s">
        <v>184</v>
      </c>
      <c r="P23" s="1080"/>
      <c r="Q23" s="1081"/>
      <c r="R23" s="245"/>
      <c r="S23" s="245"/>
      <c r="T23" s="246">
        <f>SUM(T18:T22)</f>
        <v>23000</v>
      </c>
      <c r="U23" s="1638"/>
      <c r="V23" s="1022" t="s">
        <v>763</v>
      </c>
      <c r="W23" s="140">
        <f>(5*125)</f>
        <v>625</v>
      </c>
      <c r="X23" s="141"/>
      <c r="Y23" s="1116"/>
      <c r="Z23" s="143"/>
      <c r="AA23" s="1118"/>
      <c r="AB23" s="119"/>
      <c r="AC23" s="141"/>
      <c r="AD23" s="1029" t="s">
        <v>96</v>
      </c>
      <c r="AE23" s="184">
        <v>1000</v>
      </c>
      <c r="AF23" s="146"/>
      <c r="AG23" s="1570" t="s">
        <v>95</v>
      </c>
      <c r="AH23" s="1657"/>
      <c r="AI23" s="1658"/>
      <c r="AJ23" s="1659">
        <v>0</v>
      </c>
      <c r="AK23" s="1659"/>
      <c r="AL23" s="1602">
        <f>AL11+AL14+AL21</f>
        <v>123360</v>
      </c>
      <c r="AM23" s="141"/>
      <c r="AN23" s="1504" t="s">
        <v>165</v>
      </c>
      <c r="AO23" s="1505"/>
      <c r="AP23" s="1518"/>
      <c r="AQ23" s="196">
        <v>2000</v>
      </c>
      <c r="AR23" s="141"/>
      <c r="AS23" s="1059" t="s">
        <v>264</v>
      </c>
      <c r="AT23" s="143"/>
      <c r="AU23" s="120"/>
      <c r="AV23" s="119">
        <v>1000</v>
      </c>
      <c r="AX23" s="1059" t="s">
        <v>624</v>
      </c>
      <c r="AY23" s="1029"/>
      <c r="AZ23" s="1013"/>
      <c r="BA23" s="1064">
        <v>350</v>
      </c>
      <c r="BB23" s="1739"/>
      <c r="BC23" s="1076">
        <f t="shared" si="1"/>
        <v>0</v>
      </c>
      <c r="BD23" s="1897" t="s">
        <v>813</v>
      </c>
      <c r="BE23" s="1898"/>
      <c r="BF23" s="1899"/>
      <c r="BH23" s="1536" t="s">
        <v>764</v>
      </c>
      <c r="BI23" s="1535"/>
      <c r="BJ23" s="1535"/>
      <c r="BK23" s="110">
        <v>32</v>
      </c>
      <c r="BL23" s="1656">
        <v>14</v>
      </c>
      <c r="BM23" s="1577">
        <f>BK23*BL23</f>
        <v>448</v>
      </c>
      <c r="BO23" s="1059"/>
      <c r="BP23" s="1029"/>
      <c r="BQ23" s="1652"/>
      <c r="BR23" s="1660"/>
      <c r="BS23" s="1897"/>
      <c r="BT23" s="1898"/>
      <c r="BU23" s="1899"/>
    </row>
    <row r="24" spans="2:73" ht="15.75" thickTop="1" thickBot="1" x14ac:dyDescent="0.25">
      <c r="B24" s="173" t="s">
        <v>85</v>
      </c>
      <c r="C24" s="130">
        <v>1500</v>
      </c>
      <c r="D24" s="1569"/>
      <c r="E24" s="1116"/>
      <c r="F24" s="143"/>
      <c r="G24" s="1118"/>
      <c r="H24" s="119"/>
      <c r="I24" s="148"/>
      <c r="J24" s="1506" t="s">
        <v>246</v>
      </c>
      <c r="K24" s="1125"/>
      <c r="L24" s="1126"/>
      <c r="M24" s="170">
        <f>SUM(M13:M23)</f>
        <v>10586.25</v>
      </c>
      <c r="N24" s="154"/>
      <c r="O24" s="1515"/>
      <c r="P24" s="1516"/>
      <c r="Q24" s="1013"/>
      <c r="R24" s="242"/>
      <c r="S24" s="243"/>
      <c r="T24" s="138"/>
      <c r="U24" s="1573"/>
      <c r="V24" s="1029" t="s">
        <v>765</v>
      </c>
      <c r="W24" s="140">
        <v>1000</v>
      </c>
      <c r="X24" s="154"/>
      <c r="Y24" s="1116"/>
      <c r="Z24" s="143"/>
      <c r="AA24" s="1118"/>
      <c r="AB24" s="119"/>
      <c r="AC24" s="141"/>
      <c r="AD24" s="1029" t="s">
        <v>97</v>
      </c>
      <c r="AE24" s="184">
        <v>0</v>
      </c>
      <c r="AF24" s="141"/>
      <c r="AG24" s="1943" t="s">
        <v>132</v>
      </c>
      <c r="AH24" s="1944"/>
      <c r="AI24" s="1944"/>
      <c r="AJ24" s="1944"/>
      <c r="AK24" s="1945"/>
      <c r="AL24" s="208">
        <v>700</v>
      </c>
      <c r="AM24" s="154"/>
      <c r="AN24" s="1504" t="s">
        <v>766</v>
      </c>
      <c r="AO24" s="1505"/>
      <c r="AP24" s="1518"/>
      <c r="AQ24" s="130">
        <v>0</v>
      </c>
      <c r="AR24" s="141"/>
      <c r="AS24" s="1059" t="s">
        <v>65</v>
      </c>
      <c r="AT24" s="143"/>
      <c r="AU24" s="115"/>
      <c r="AV24" s="119">
        <v>400</v>
      </c>
      <c r="AX24" s="1059" t="s">
        <v>625</v>
      </c>
      <c r="AY24" s="1029"/>
      <c r="AZ24" s="1013"/>
      <c r="BA24" s="1064">
        <v>350</v>
      </c>
      <c r="BB24" s="1739"/>
      <c r="BC24" s="1076">
        <f t="shared" si="1"/>
        <v>0</v>
      </c>
      <c r="BD24" s="1897" t="s">
        <v>813</v>
      </c>
      <c r="BE24" s="1898"/>
      <c r="BF24" s="1899"/>
      <c r="BH24" s="1536" t="s">
        <v>767</v>
      </c>
      <c r="BI24" s="1535"/>
      <c r="BJ24" s="1535"/>
      <c r="BK24" s="110">
        <v>192</v>
      </c>
      <c r="BL24" s="1656">
        <v>4</v>
      </c>
      <c r="BM24" s="1577">
        <f>BK24*BL24</f>
        <v>768</v>
      </c>
      <c r="BO24" s="1110"/>
      <c r="BP24" s="111"/>
      <c r="BQ24" s="1620"/>
      <c r="BR24" s="1661"/>
      <c r="BS24" s="1897"/>
      <c r="BT24" s="1898"/>
      <c r="BU24" s="1899"/>
    </row>
    <row r="25" spans="2:73" ht="15.75" thickTop="1" thickBot="1" x14ac:dyDescent="0.25">
      <c r="B25" s="173" t="s">
        <v>61</v>
      </c>
      <c r="C25" s="130">
        <v>500</v>
      </c>
      <c r="D25" s="1569"/>
      <c r="E25" s="1095"/>
      <c r="F25" s="1096"/>
      <c r="G25" s="1128"/>
      <c r="H25" s="1065"/>
      <c r="I25" s="148"/>
      <c r="J25" s="1127"/>
      <c r="K25" s="1077"/>
      <c r="L25" s="1037"/>
      <c r="M25" s="126"/>
      <c r="N25" s="141"/>
      <c r="O25" s="1122" t="s">
        <v>95</v>
      </c>
      <c r="P25" s="1123"/>
      <c r="Q25" s="1124"/>
      <c r="R25" s="206">
        <v>0</v>
      </c>
      <c r="S25" s="206"/>
      <c r="T25" s="207">
        <f>T12+T17+T23</f>
        <v>59500</v>
      </c>
      <c r="U25" s="1662"/>
      <c r="V25" s="1029" t="s">
        <v>768</v>
      </c>
      <c r="W25" s="140">
        <f>(1000*5)</f>
        <v>5000</v>
      </c>
      <c r="X25" s="141"/>
      <c r="Y25" s="1095"/>
      <c r="Z25" s="1096"/>
      <c r="AA25" s="1128"/>
      <c r="AB25" s="1065"/>
      <c r="AC25" s="1068"/>
      <c r="AD25" s="1029" t="s">
        <v>99</v>
      </c>
      <c r="AE25" s="184">
        <v>150</v>
      </c>
      <c r="AF25" s="1068"/>
      <c r="AG25" s="1889" t="s">
        <v>63</v>
      </c>
      <c r="AH25" s="1890"/>
      <c r="AI25" s="1890"/>
      <c r="AJ25" s="1516"/>
      <c r="AK25" s="209"/>
      <c r="AL25" s="116">
        <v>4600</v>
      </c>
      <c r="AM25" s="141"/>
      <c r="AN25" s="1504" t="s">
        <v>104</v>
      </c>
      <c r="AO25" s="1505"/>
      <c r="AP25" s="1518"/>
      <c r="AQ25" s="130">
        <v>350</v>
      </c>
      <c r="AR25" s="1068"/>
      <c r="AS25" s="1059" t="s">
        <v>265</v>
      </c>
      <c r="AT25" s="143"/>
      <c r="AU25" s="115"/>
      <c r="AV25" s="119">
        <v>350</v>
      </c>
      <c r="AX25" s="1059" t="s">
        <v>625</v>
      </c>
      <c r="AY25" s="1029"/>
      <c r="AZ25" s="1013"/>
      <c r="BA25" s="1064">
        <v>350</v>
      </c>
      <c r="BB25" s="1739"/>
      <c r="BC25" s="1076">
        <f t="shared" si="1"/>
        <v>0</v>
      </c>
      <c r="BD25" s="1501" t="s">
        <v>813</v>
      </c>
      <c r="BE25" s="1502"/>
      <c r="BF25" s="1503"/>
      <c r="BH25" s="1536" t="s">
        <v>769</v>
      </c>
      <c r="BI25" s="1535"/>
      <c r="BJ25" s="1535"/>
      <c r="BK25" s="110"/>
      <c r="BL25" s="1656"/>
      <c r="BM25" s="1577">
        <v>2207.16</v>
      </c>
      <c r="BO25" s="1136"/>
      <c r="BP25" s="1137"/>
      <c r="BQ25" s="1663"/>
      <c r="BR25" s="1664"/>
      <c r="BS25" s="1897"/>
      <c r="BT25" s="1898"/>
      <c r="BU25" s="1899"/>
    </row>
    <row r="26" spans="2:73" ht="15.75" thickTop="1" thickBot="1" x14ac:dyDescent="0.25">
      <c r="B26" s="173" t="s">
        <v>94</v>
      </c>
      <c r="C26" s="130">
        <v>250</v>
      </c>
      <c r="D26" s="1569"/>
      <c r="E26" s="1095"/>
      <c r="F26" s="1096"/>
      <c r="G26" s="1128"/>
      <c r="H26" s="1065"/>
      <c r="I26" s="148"/>
      <c r="J26" s="149" t="s">
        <v>245</v>
      </c>
      <c r="K26" s="1129"/>
      <c r="L26" s="1130"/>
      <c r="M26" s="159">
        <f>M11-M24</f>
        <v>1113.75</v>
      </c>
      <c r="N26" s="141"/>
      <c r="O26" s="1517" t="s">
        <v>4</v>
      </c>
      <c r="P26" s="1505"/>
      <c r="Q26" s="1505"/>
      <c r="R26" s="242"/>
      <c r="S26" s="243"/>
      <c r="T26" s="138"/>
      <c r="U26" s="1569"/>
      <c r="V26" s="1029" t="s">
        <v>770</v>
      </c>
      <c r="W26" s="140">
        <f>(3*125)</f>
        <v>375</v>
      </c>
      <c r="X26" s="141"/>
      <c r="Y26" s="1095"/>
      <c r="Z26" s="1096"/>
      <c r="AA26" s="1128"/>
      <c r="AB26" s="1065"/>
      <c r="AC26" s="1068"/>
      <c r="AD26" s="1029" t="s">
        <v>102</v>
      </c>
      <c r="AE26" s="184">
        <v>375</v>
      </c>
      <c r="AF26" s="1068"/>
      <c r="AG26" s="1946" t="s">
        <v>255</v>
      </c>
      <c r="AH26" s="1947"/>
      <c r="AI26" s="1947"/>
      <c r="AJ26" s="1131" t="s">
        <v>141</v>
      </c>
      <c r="AK26" s="209"/>
      <c r="AL26" s="116">
        <v>0</v>
      </c>
      <c r="AM26" s="141"/>
      <c r="AN26" s="1504" t="s">
        <v>105</v>
      </c>
      <c r="AO26" s="1505"/>
      <c r="AP26" s="1518"/>
      <c r="AQ26" s="116">
        <v>2100</v>
      </c>
      <c r="AR26" s="1068"/>
      <c r="AS26" s="1059" t="s">
        <v>266</v>
      </c>
      <c r="AT26" s="143"/>
      <c r="AU26" s="115"/>
      <c r="AV26" s="119">
        <v>0</v>
      </c>
      <c r="AX26" s="1059" t="s">
        <v>626</v>
      </c>
      <c r="AY26" s="1029"/>
      <c r="AZ26" s="1013"/>
      <c r="BA26" s="1064">
        <v>350</v>
      </c>
      <c r="BB26" s="1739"/>
      <c r="BC26" s="1076">
        <f t="shared" si="1"/>
        <v>0</v>
      </c>
      <c r="BD26" s="1501" t="s">
        <v>813</v>
      </c>
      <c r="BE26" s="1502"/>
      <c r="BF26" s="1503"/>
      <c r="BH26" s="1536" t="s">
        <v>771</v>
      </c>
      <c r="BI26" s="1535"/>
      <c r="BJ26" s="1535"/>
      <c r="BK26" s="110"/>
      <c r="BL26" s="1656"/>
      <c r="BM26" s="1577">
        <v>66</v>
      </c>
      <c r="BO26" s="1522" t="s">
        <v>3</v>
      </c>
      <c r="BP26" s="1523"/>
      <c r="BQ26" s="1584"/>
      <c r="BR26" s="1665">
        <f>SUM(BR9:BR25)</f>
        <v>28200</v>
      </c>
      <c r="BS26" s="1897"/>
      <c r="BT26" s="1898"/>
      <c r="BU26" s="1899"/>
    </row>
    <row r="27" spans="2:73" ht="15" thickBot="1" x14ac:dyDescent="0.25">
      <c r="B27" s="173" t="s">
        <v>119</v>
      </c>
      <c r="C27" s="130">
        <v>0</v>
      </c>
      <c r="D27" s="1569"/>
      <c r="E27" s="1095"/>
      <c r="F27" s="1096"/>
      <c r="G27" s="1128"/>
      <c r="H27" s="1065"/>
      <c r="I27" s="148"/>
      <c r="J27" s="1093"/>
      <c r="M27" s="141"/>
      <c r="N27" s="141"/>
      <c r="O27" s="1515" t="s">
        <v>234</v>
      </c>
      <c r="P27" s="1516"/>
      <c r="Q27" s="1013"/>
      <c r="R27" s="242">
        <v>1</v>
      </c>
      <c r="S27" s="243">
        <v>250</v>
      </c>
      <c r="T27" s="138">
        <f>R27*S27</f>
        <v>250</v>
      </c>
      <c r="U27" s="1569"/>
      <c r="V27" s="1029" t="s">
        <v>65</v>
      </c>
      <c r="W27" s="140">
        <v>600</v>
      </c>
      <c r="X27" s="141"/>
      <c r="Y27" s="1095"/>
      <c r="Z27" s="1096"/>
      <c r="AA27" s="1128"/>
      <c r="AB27" s="1065"/>
      <c r="AC27" s="1068"/>
      <c r="AD27" s="1029" t="s">
        <v>64</v>
      </c>
      <c r="AE27" s="184">
        <v>800</v>
      </c>
      <c r="AF27" s="1068"/>
      <c r="AG27" s="1889" t="s">
        <v>74</v>
      </c>
      <c r="AH27" s="1890"/>
      <c r="AI27" s="1890"/>
      <c r="AJ27" s="1131"/>
      <c r="AK27" s="209"/>
      <c r="AL27" s="263">
        <v>1600</v>
      </c>
      <c r="AM27" s="141"/>
      <c r="AN27" s="1504" t="s">
        <v>106</v>
      </c>
      <c r="AO27" s="1505"/>
      <c r="AP27" s="1518"/>
      <c r="AQ27" s="130">
        <v>3600</v>
      </c>
      <c r="AR27" s="1068"/>
      <c r="AS27" s="1095"/>
      <c r="AT27" s="1096"/>
      <c r="AU27" s="1132"/>
      <c r="AV27" s="1065"/>
      <c r="AX27" s="1059" t="s">
        <v>627</v>
      </c>
      <c r="AY27" s="1029"/>
      <c r="AZ27" s="1013"/>
      <c r="BA27" s="1064">
        <v>350</v>
      </c>
      <c r="BB27" s="1739"/>
      <c r="BC27" s="1076">
        <f t="shared" si="1"/>
        <v>0</v>
      </c>
      <c r="BD27" s="1501" t="s">
        <v>813</v>
      </c>
      <c r="BE27" s="1502"/>
      <c r="BF27" s="1503"/>
      <c r="BH27" s="1536" t="s">
        <v>772</v>
      </c>
      <c r="BI27" s="1535"/>
      <c r="BJ27" s="1535"/>
      <c r="BK27" s="110">
        <v>20</v>
      </c>
      <c r="BL27" s="1656">
        <v>10</v>
      </c>
      <c r="BM27" s="1577">
        <f>BK27*BL27</f>
        <v>200</v>
      </c>
      <c r="BO27" s="1666"/>
      <c r="BP27" s="1667"/>
      <c r="BQ27" s="1668"/>
      <c r="BR27" s="1669"/>
      <c r="BS27" s="1932"/>
      <c r="BT27" s="1933"/>
      <c r="BU27" s="1934"/>
    </row>
    <row r="28" spans="2:73" ht="15" thickBot="1" x14ac:dyDescent="0.25">
      <c r="B28" s="1673" t="s">
        <v>64</v>
      </c>
      <c r="C28" s="176"/>
      <c r="D28" s="1569"/>
      <c r="E28" s="1095"/>
      <c r="F28" s="1096"/>
      <c r="G28" s="1128"/>
      <c r="H28" s="1065"/>
      <c r="I28" s="148"/>
      <c r="J28" s="148"/>
      <c r="O28" s="1515" t="s">
        <v>185</v>
      </c>
      <c r="P28" s="1516"/>
      <c r="Q28" s="1013"/>
      <c r="R28" s="242">
        <v>1</v>
      </c>
      <c r="S28" s="243">
        <v>500</v>
      </c>
      <c r="T28" s="138">
        <f>R28*S28</f>
        <v>500</v>
      </c>
      <c r="U28" s="1569"/>
      <c r="V28" s="1029" t="s">
        <v>52</v>
      </c>
      <c r="W28" s="140">
        <v>0</v>
      </c>
      <c r="Y28" s="1095"/>
      <c r="Z28" s="1096"/>
      <c r="AA28" s="1128"/>
      <c r="AB28" s="1065"/>
      <c r="AC28" s="1068"/>
      <c r="AD28" s="1029" t="s">
        <v>103</v>
      </c>
      <c r="AE28" s="184">
        <v>9100</v>
      </c>
      <c r="AF28" s="1068"/>
      <c r="AG28" s="1935" t="s">
        <v>842</v>
      </c>
      <c r="AH28" s="1936"/>
      <c r="AI28" s="1936"/>
      <c r="AJ28" s="1133"/>
      <c r="AK28" s="264"/>
      <c r="AL28" s="265">
        <v>0</v>
      </c>
      <c r="AN28" s="1504" t="s">
        <v>107</v>
      </c>
      <c r="AO28" s="1505"/>
      <c r="AP28" s="1518"/>
      <c r="AQ28" s="130">
        <v>700</v>
      </c>
      <c r="AR28" s="1068"/>
      <c r="AS28" s="1095"/>
      <c r="AT28" s="1096"/>
      <c r="AU28" s="1132"/>
      <c r="AV28" s="1065"/>
      <c r="AX28" s="1059" t="s">
        <v>628</v>
      </c>
      <c r="AY28" s="1029"/>
      <c r="AZ28" s="1013"/>
      <c r="BA28" s="1064">
        <v>350</v>
      </c>
      <c r="BB28" s="1739"/>
      <c r="BC28" s="1076">
        <f t="shared" si="1"/>
        <v>0</v>
      </c>
      <c r="BD28" s="1501"/>
      <c r="BE28" s="1502"/>
      <c r="BF28" s="1503"/>
      <c r="BH28" s="1536" t="s">
        <v>773</v>
      </c>
      <c r="BI28" s="1670">
        <v>8.2500000000000004E-2</v>
      </c>
      <c r="BJ28" s="1535"/>
      <c r="BK28" s="110"/>
      <c r="BL28" s="1656"/>
      <c r="BM28" s="1671">
        <v>1035.21</v>
      </c>
      <c r="BO28" s="1146" t="s">
        <v>4</v>
      </c>
      <c r="BP28" s="1147"/>
      <c r="BQ28" s="1672"/>
      <c r="BR28" s="1149"/>
      <c r="BS28" s="1922"/>
      <c r="BT28" s="1923"/>
      <c r="BU28" s="1924"/>
    </row>
    <row r="29" spans="2:73" ht="14.25" x14ac:dyDescent="0.2">
      <c r="B29" s="1673" t="s">
        <v>65</v>
      </c>
      <c r="C29" s="176">
        <v>650</v>
      </c>
      <c r="D29" s="1598"/>
      <c r="E29" s="1095"/>
      <c r="F29" s="1096"/>
      <c r="G29" s="123"/>
      <c r="H29" s="1134"/>
      <c r="I29" s="148"/>
      <c r="J29" s="148"/>
      <c r="O29" s="1515" t="s">
        <v>186</v>
      </c>
      <c r="P29" s="1516"/>
      <c r="Q29" s="1013"/>
      <c r="R29" s="242">
        <v>4</v>
      </c>
      <c r="S29" s="243">
        <v>110</v>
      </c>
      <c r="T29" s="138">
        <f t="shared" ref="T29:T34" si="2">R29*S29</f>
        <v>440</v>
      </c>
      <c r="U29" s="1569"/>
      <c r="V29" s="1111" t="s">
        <v>774</v>
      </c>
      <c r="W29" s="176">
        <v>200</v>
      </c>
      <c r="Y29" s="1095"/>
      <c r="Z29" s="1096"/>
      <c r="AA29" s="123"/>
      <c r="AB29" s="1134"/>
      <c r="AC29" s="1068"/>
      <c r="AD29" s="1029" t="s">
        <v>775</v>
      </c>
      <c r="AE29" s="184">
        <v>1000</v>
      </c>
      <c r="AF29" s="1068"/>
      <c r="AG29" s="1889" t="s">
        <v>148</v>
      </c>
      <c r="AH29" s="1890"/>
      <c r="AI29" s="1890"/>
      <c r="AJ29" s="1516"/>
      <c r="AK29" s="209"/>
      <c r="AL29" s="116">
        <v>3100</v>
      </c>
      <c r="AN29" s="1504" t="s">
        <v>108</v>
      </c>
      <c r="AO29" s="1505"/>
      <c r="AP29" s="1518"/>
      <c r="AQ29" s="130">
        <v>0</v>
      </c>
      <c r="AR29" s="1068"/>
      <c r="AS29" s="1095"/>
      <c r="AT29" s="1096"/>
      <c r="AU29" s="1132"/>
      <c r="AV29" s="1065"/>
      <c r="AX29" s="1059" t="s">
        <v>629</v>
      </c>
      <c r="AY29" s="1029">
        <v>1</v>
      </c>
      <c r="AZ29" s="1013"/>
      <c r="BA29" s="1064">
        <v>500</v>
      </c>
      <c r="BB29" s="1739"/>
      <c r="BC29" s="1076">
        <f t="shared" si="1"/>
        <v>500</v>
      </c>
      <c r="BD29" s="1501"/>
      <c r="BE29" s="1502"/>
      <c r="BF29" s="1503"/>
      <c r="BH29" s="1536" t="s">
        <v>65</v>
      </c>
      <c r="BI29" s="1535"/>
      <c r="BJ29" s="1535"/>
      <c r="BK29" s="110"/>
      <c r="BL29" s="1656"/>
      <c r="BM29" s="1674">
        <f>378.96+59.4</f>
        <v>438.35999999999996</v>
      </c>
      <c r="BO29" s="1151" t="s">
        <v>776</v>
      </c>
      <c r="BP29" s="1675"/>
      <c r="BQ29" s="1676"/>
      <c r="BR29" s="1076">
        <f>(3000+7140)</f>
        <v>10140</v>
      </c>
      <c r="BS29" s="1937"/>
      <c r="BT29" s="1938"/>
      <c r="BU29" s="1939"/>
    </row>
    <row r="30" spans="2:73" ht="15" thickBot="1" x14ac:dyDescent="0.25">
      <c r="B30" s="175" t="s">
        <v>825</v>
      </c>
      <c r="C30" s="130">
        <f>400</f>
        <v>400</v>
      </c>
      <c r="D30" s="1598"/>
      <c r="E30" s="1900" t="s">
        <v>25</v>
      </c>
      <c r="F30" s="1901"/>
      <c r="G30" s="1902"/>
      <c r="H30" s="171">
        <f>SUM(H17:H29)</f>
        <v>6075</v>
      </c>
      <c r="I30" s="148"/>
      <c r="J30" s="148"/>
      <c r="O30" s="1515" t="s">
        <v>187</v>
      </c>
      <c r="P30" s="1516"/>
      <c r="Q30" s="1013"/>
      <c r="R30" s="242">
        <v>1</v>
      </c>
      <c r="S30" s="243">
        <v>75</v>
      </c>
      <c r="T30" s="138">
        <f t="shared" si="2"/>
        <v>75</v>
      </c>
      <c r="U30" s="128"/>
      <c r="V30" s="221" t="s">
        <v>25</v>
      </c>
      <c r="W30" s="171">
        <f>SUM(W17:W29)</f>
        <v>26247.31</v>
      </c>
      <c r="Y30" s="1900" t="s">
        <v>25</v>
      </c>
      <c r="Z30" s="1901"/>
      <c r="AA30" s="1902"/>
      <c r="AB30" s="171">
        <f>SUM(AB17:AB29)</f>
        <v>6075</v>
      </c>
      <c r="AC30" s="1073"/>
      <c r="AD30" s="1029" t="s">
        <v>145</v>
      </c>
      <c r="AE30" s="184">
        <v>700</v>
      </c>
      <c r="AF30" s="1073"/>
      <c r="AG30" s="1889" t="s">
        <v>149</v>
      </c>
      <c r="AH30" s="1890"/>
      <c r="AI30" s="1890"/>
      <c r="AJ30" s="1516"/>
      <c r="AK30" s="209"/>
      <c r="AL30" s="116"/>
      <c r="AN30" s="1504" t="s">
        <v>65</v>
      </c>
      <c r="AO30" s="1505"/>
      <c r="AP30" s="1518"/>
      <c r="AQ30" s="196">
        <v>1750</v>
      </c>
      <c r="AR30" s="1073"/>
      <c r="AS30" s="1095"/>
      <c r="AT30" s="1096"/>
      <c r="AU30" s="1132"/>
      <c r="AV30" s="1135"/>
      <c r="AX30" s="1059" t="s">
        <v>630</v>
      </c>
      <c r="AY30" s="1029">
        <v>10</v>
      </c>
      <c r="AZ30" s="1013"/>
      <c r="BA30" s="1064">
        <v>200</v>
      </c>
      <c r="BB30" s="1739"/>
      <c r="BC30" s="1076">
        <f t="shared" si="1"/>
        <v>2000</v>
      </c>
      <c r="BD30" s="1718" t="s">
        <v>806</v>
      </c>
      <c r="BE30" s="1502"/>
      <c r="BF30" s="1503"/>
      <c r="BH30" s="1536" t="s">
        <v>28</v>
      </c>
      <c r="BI30" s="1535"/>
      <c r="BJ30" s="1535"/>
      <c r="BK30" s="110"/>
      <c r="BL30" s="1656"/>
      <c r="BM30" s="1619">
        <v>153.15</v>
      </c>
      <c r="BO30" s="1074" t="s">
        <v>777</v>
      </c>
      <c r="BP30" s="1022">
        <v>175</v>
      </c>
      <c r="BQ30" s="1677">
        <v>24</v>
      </c>
      <c r="BR30" s="1076">
        <f>BP30*BQ30</f>
        <v>4200</v>
      </c>
      <c r="BS30" s="1940"/>
      <c r="BT30" s="1941"/>
      <c r="BU30" s="1942"/>
    </row>
    <row r="31" spans="2:73" ht="15.75" thickTop="1" thickBot="1" x14ac:dyDescent="0.25">
      <c r="B31" s="169" t="s">
        <v>25</v>
      </c>
      <c r="C31" s="171">
        <f>SUM(C16:C30)</f>
        <v>58484.25</v>
      </c>
      <c r="D31" s="1598"/>
      <c r="E31" s="1058"/>
      <c r="F31" s="1048"/>
      <c r="G31" s="1048"/>
      <c r="H31" s="1049"/>
      <c r="I31" s="148"/>
      <c r="J31" s="148"/>
      <c r="O31" s="1515" t="s">
        <v>188</v>
      </c>
      <c r="P31" s="1516"/>
      <c r="Q31" s="1013"/>
      <c r="R31" s="242">
        <v>4</v>
      </c>
      <c r="S31" s="243">
        <v>100</v>
      </c>
      <c r="T31" s="138">
        <f t="shared" si="2"/>
        <v>400</v>
      </c>
      <c r="U31" s="1598"/>
      <c r="V31" s="1678"/>
      <c r="W31" s="1679"/>
      <c r="Y31" s="1058"/>
      <c r="Z31" s="1048"/>
      <c r="AA31" s="1048"/>
      <c r="AB31" s="1049"/>
      <c r="AC31" s="1057"/>
      <c r="AD31" s="1029" t="s">
        <v>146</v>
      </c>
      <c r="AE31" s="184">
        <v>150</v>
      </c>
      <c r="AF31" s="1057"/>
      <c r="AG31" s="1889" t="s">
        <v>101</v>
      </c>
      <c r="AH31" s="1890"/>
      <c r="AI31" s="1890"/>
      <c r="AJ31" s="1516"/>
      <c r="AK31" s="209"/>
      <c r="AL31" s="130">
        <v>20000</v>
      </c>
      <c r="AN31" s="1504" t="s">
        <v>110</v>
      </c>
      <c r="AO31" s="1505"/>
      <c r="AP31" s="1518"/>
      <c r="AQ31" s="196">
        <v>800</v>
      </c>
      <c r="AR31" s="1057"/>
      <c r="AS31" s="1506" t="s">
        <v>25</v>
      </c>
      <c r="AT31" s="1507"/>
      <c r="AU31" s="1508"/>
      <c r="AV31" s="171">
        <f>SUM(AV20:AV30)</f>
        <v>11170</v>
      </c>
      <c r="AX31" s="1059" t="s">
        <v>807</v>
      </c>
      <c r="AY31" s="1029">
        <v>10</v>
      </c>
      <c r="AZ31" s="1013"/>
      <c r="BA31" s="1118">
        <v>35</v>
      </c>
      <c r="BB31" s="1118"/>
      <c r="BC31" s="1115">
        <f>BA31*AY31</f>
        <v>350</v>
      </c>
      <c r="BD31" s="1897"/>
      <c r="BE31" s="1898"/>
      <c r="BF31" s="1899"/>
      <c r="BH31" s="1536" t="s">
        <v>778</v>
      </c>
      <c r="BI31" s="1535"/>
      <c r="BJ31" s="1535"/>
      <c r="BK31" s="110"/>
      <c r="BL31" s="1656"/>
      <c r="BM31" s="1674">
        <v>6.87</v>
      </c>
      <c r="BO31" s="1059" t="s">
        <v>779</v>
      </c>
      <c r="BP31" s="1029">
        <v>29</v>
      </c>
      <c r="BQ31" s="47">
        <v>24</v>
      </c>
      <c r="BR31" s="1076">
        <f>BP31*BQ31+189.17</f>
        <v>885.17</v>
      </c>
      <c r="BS31" s="1915" t="s">
        <v>780</v>
      </c>
      <c r="BT31" s="1916"/>
      <c r="BU31" s="1917"/>
    </row>
    <row r="32" spans="2:73" ht="16.5" thickTop="1" thickBot="1" x14ac:dyDescent="0.3">
      <c r="B32" s="168"/>
      <c r="C32" s="140"/>
      <c r="D32" s="1598"/>
      <c r="E32" s="1894" t="s">
        <v>245</v>
      </c>
      <c r="F32" s="1895"/>
      <c r="G32" s="1896"/>
      <c r="H32" s="134">
        <f>+H14-H30</f>
        <v>-6075</v>
      </c>
      <c r="I32" s="153"/>
      <c r="J32" s="153"/>
      <c r="O32" s="1515" t="s">
        <v>189</v>
      </c>
      <c r="P32" s="1516"/>
      <c r="Q32" s="1013"/>
      <c r="R32" s="242">
        <v>300</v>
      </c>
      <c r="S32" s="243">
        <v>20</v>
      </c>
      <c r="T32" s="138">
        <f t="shared" si="2"/>
        <v>6000</v>
      </c>
      <c r="U32" s="128"/>
      <c r="V32" s="1160" t="s">
        <v>245</v>
      </c>
      <c r="W32" s="1161">
        <f>W15-W30</f>
        <v>22202.69</v>
      </c>
      <c r="Y32" s="1894" t="s">
        <v>245</v>
      </c>
      <c r="Z32" s="1895"/>
      <c r="AA32" s="1896"/>
      <c r="AB32" s="134">
        <f>+AB14-AB30</f>
        <v>-6075</v>
      </c>
      <c r="AC32" s="1073"/>
      <c r="AD32" s="1029" t="s">
        <v>65</v>
      </c>
      <c r="AE32" s="184">
        <v>750</v>
      </c>
      <c r="AF32" s="1073"/>
      <c r="AG32" s="1889" t="s">
        <v>150</v>
      </c>
      <c r="AH32" s="1890"/>
      <c r="AI32" s="1890"/>
      <c r="AJ32" s="1131"/>
      <c r="AK32" s="209"/>
      <c r="AL32" s="130">
        <v>0</v>
      </c>
      <c r="AN32" s="1504" t="s">
        <v>111</v>
      </c>
      <c r="AO32" s="1505"/>
      <c r="AP32" s="1518"/>
      <c r="AQ32" s="196">
        <v>1200</v>
      </c>
      <c r="AR32" s="1073"/>
      <c r="AS32" s="1058"/>
      <c r="AT32" s="1048"/>
      <c r="AU32" s="1048"/>
      <c r="AV32" s="1049"/>
      <c r="AX32" s="1136" t="s">
        <v>803</v>
      </c>
      <c r="AY32" s="1137">
        <v>6</v>
      </c>
      <c r="AZ32" s="1658"/>
      <c r="BA32" s="1138">
        <v>50</v>
      </c>
      <c r="BB32" s="1740"/>
      <c r="BC32" s="1139">
        <f>BA32*AY32</f>
        <v>300</v>
      </c>
      <c r="BD32" s="1897"/>
      <c r="BE32" s="1898"/>
      <c r="BF32" s="1899"/>
      <c r="BH32" s="1533"/>
      <c r="BI32" s="1534"/>
      <c r="BJ32" s="1534"/>
      <c r="BK32" s="123"/>
      <c r="BL32" s="1680"/>
      <c r="BM32" s="1681"/>
      <c r="BO32" s="1059" t="s">
        <v>781</v>
      </c>
      <c r="BP32" s="1029"/>
      <c r="BQ32" s="47"/>
      <c r="BR32" s="1076">
        <v>979.2</v>
      </c>
      <c r="BS32" s="1931"/>
      <c r="BT32" s="1919"/>
      <c r="BU32" s="1920"/>
    </row>
    <row r="33" spans="2:73" ht="15.75" thickTop="1" thickBot="1" x14ac:dyDescent="0.25">
      <c r="B33" s="149" t="s">
        <v>245</v>
      </c>
      <c r="C33" s="177">
        <f>C11-C31</f>
        <v>6515.75</v>
      </c>
      <c r="D33" s="1073"/>
      <c r="E33" s="148"/>
      <c r="F33" s="148"/>
      <c r="G33" s="148"/>
      <c r="H33" s="148"/>
      <c r="I33" s="148"/>
      <c r="J33" s="148"/>
      <c r="O33" s="1515" t="s">
        <v>190</v>
      </c>
      <c r="P33" s="1516"/>
      <c r="Q33" s="1013"/>
      <c r="R33" s="242">
        <v>300</v>
      </c>
      <c r="S33" s="243">
        <v>12</v>
      </c>
      <c r="T33" s="138">
        <f t="shared" si="2"/>
        <v>3600</v>
      </c>
      <c r="U33" s="128"/>
      <c r="AD33" s="1029" t="s">
        <v>52</v>
      </c>
      <c r="AE33" s="184">
        <v>2500</v>
      </c>
      <c r="AG33" s="1889" t="s">
        <v>151</v>
      </c>
      <c r="AH33" s="1890"/>
      <c r="AI33" s="1890"/>
      <c r="AJ33" s="1131"/>
      <c r="AK33" s="209"/>
      <c r="AL33" s="130">
        <v>0</v>
      </c>
      <c r="AN33" s="1504" t="s">
        <v>112</v>
      </c>
      <c r="AO33" s="1505"/>
      <c r="AP33" s="1518"/>
      <c r="AQ33" s="196">
        <v>550</v>
      </c>
      <c r="AS33" s="1894" t="s">
        <v>648</v>
      </c>
      <c r="AT33" s="1895"/>
      <c r="AU33" s="1896"/>
      <c r="AV33" s="134">
        <f>+AV14-AV31+AV15</f>
        <v>130</v>
      </c>
      <c r="AX33" s="1140" t="s">
        <v>3</v>
      </c>
      <c r="AY33" s="1141"/>
      <c r="AZ33" s="1732"/>
      <c r="BA33" s="1142"/>
      <c r="BB33" s="1784">
        <f>BC33</f>
        <v>25000</v>
      </c>
      <c r="BC33" s="1143">
        <f>SUM(BC11:BC32)</f>
        <v>25000</v>
      </c>
      <c r="BD33" s="1928" t="s">
        <v>815</v>
      </c>
      <c r="BE33" s="1929"/>
      <c r="BF33" s="1930"/>
      <c r="BH33" s="1682" t="s">
        <v>25</v>
      </c>
      <c r="BI33" s="1683"/>
      <c r="BJ33" s="1683"/>
      <c r="BK33" s="1684"/>
      <c r="BL33" s="1684"/>
      <c r="BM33" s="1685">
        <f>SUM(BM19:BM32)</f>
        <v>16902.75</v>
      </c>
      <c r="BO33" s="1059" t="s">
        <v>782</v>
      </c>
      <c r="BP33" s="1029"/>
      <c r="BQ33" s="1686"/>
      <c r="BR33" s="1076">
        <v>1240.47</v>
      </c>
      <c r="BS33" s="1687"/>
      <c r="BT33" s="1688"/>
      <c r="BU33" s="1689"/>
    </row>
    <row r="34" spans="2:73" ht="15.75" thickTop="1" thickBot="1" x14ac:dyDescent="0.25">
      <c r="D34" s="128"/>
      <c r="E34" s="148"/>
      <c r="F34" s="148"/>
      <c r="G34" s="148"/>
      <c r="H34" s="148"/>
      <c r="I34" s="148"/>
      <c r="J34" s="148"/>
      <c r="O34" s="1515" t="s">
        <v>191</v>
      </c>
      <c r="P34" s="1516"/>
      <c r="Q34" s="1013"/>
      <c r="R34" s="242">
        <v>1</v>
      </c>
      <c r="S34" s="243">
        <v>500</v>
      </c>
      <c r="T34" s="138">
        <f t="shared" si="2"/>
        <v>500</v>
      </c>
      <c r="U34" s="128"/>
      <c r="AD34" s="1111" t="s">
        <v>7</v>
      </c>
      <c r="AE34" s="185">
        <v>100</v>
      </c>
      <c r="AG34" s="1889" t="s">
        <v>256</v>
      </c>
      <c r="AH34" s="1890"/>
      <c r="AI34" s="1890"/>
      <c r="AJ34" s="1131"/>
      <c r="AK34" s="209"/>
      <c r="AL34" s="130">
        <v>0</v>
      </c>
      <c r="AN34" s="1504" t="s">
        <v>261</v>
      </c>
      <c r="AO34" s="1505"/>
      <c r="AP34" s="1518"/>
      <c r="AQ34" s="196">
        <f>(1000+350)</f>
        <v>1350</v>
      </c>
      <c r="AX34" s="1144"/>
      <c r="AY34" s="1522"/>
      <c r="AZ34" s="1719"/>
      <c r="BA34" s="1524"/>
      <c r="BB34" s="1741"/>
      <c r="BC34" s="1145"/>
      <c r="BD34" s="1932"/>
      <c r="BE34" s="1933"/>
      <c r="BF34" s="1934"/>
      <c r="BH34" s="111"/>
      <c r="BM34" s="112"/>
      <c r="BO34" s="1059" t="s">
        <v>265</v>
      </c>
      <c r="BP34" s="1029"/>
      <c r="BQ34" s="1690"/>
      <c r="BR34" s="1076">
        <v>853.44</v>
      </c>
      <c r="BS34" s="1687"/>
      <c r="BT34" s="1688"/>
      <c r="BU34" s="1689"/>
    </row>
    <row r="35" spans="2:73" ht="15.75" thickBot="1" x14ac:dyDescent="0.3">
      <c r="D35" s="1073"/>
      <c r="E35" s="153"/>
      <c r="F35" s="153"/>
      <c r="G35" s="153"/>
      <c r="H35" s="153"/>
      <c r="I35" s="153"/>
      <c r="J35" s="153"/>
      <c r="O35" s="1515" t="s">
        <v>193</v>
      </c>
      <c r="P35" s="1516"/>
      <c r="Q35" s="1013"/>
      <c r="R35" s="242">
        <v>11765</v>
      </c>
      <c r="S35" s="243">
        <v>0.23</v>
      </c>
      <c r="T35" s="130">
        <f>R35*S35</f>
        <v>2705.9500000000003</v>
      </c>
      <c r="U35" s="128"/>
      <c r="V35" s="109"/>
      <c r="W35" s="109"/>
      <c r="AD35" s="221" t="s">
        <v>25</v>
      </c>
      <c r="AE35" s="188">
        <f>SUM(AE22:AE34)</f>
        <v>31660</v>
      </c>
      <c r="AF35" s="1150"/>
      <c r="AG35" s="1889" t="s">
        <v>227</v>
      </c>
      <c r="AH35" s="1890"/>
      <c r="AI35" s="1890"/>
      <c r="AJ35" s="1516"/>
      <c r="AK35" s="209"/>
      <c r="AL35" s="130">
        <v>0</v>
      </c>
      <c r="AN35" s="1504" t="s">
        <v>113</v>
      </c>
      <c r="AO35" s="1505"/>
      <c r="AP35" s="1518"/>
      <c r="AQ35" s="196">
        <v>2250</v>
      </c>
      <c r="AX35" s="1146" t="s">
        <v>4</v>
      </c>
      <c r="AY35" s="1147"/>
      <c r="AZ35" s="1733"/>
      <c r="BA35" s="1148"/>
      <c r="BB35" s="1742"/>
      <c r="BC35" s="1149"/>
      <c r="BD35" s="1922"/>
      <c r="BE35" s="1923"/>
      <c r="BF35" s="1924"/>
      <c r="BH35" s="1691" t="s">
        <v>23</v>
      </c>
      <c r="BI35" s="1692"/>
      <c r="BJ35" s="1692"/>
      <c r="BK35" s="1692"/>
      <c r="BL35" s="1693"/>
      <c r="BM35" s="1694">
        <f>+BM18-BM33</f>
        <v>16264.25</v>
      </c>
      <c r="BO35" s="1059" t="s">
        <v>65</v>
      </c>
      <c r="BP35" s="1029"/>
      <c r="BQ35" s="1690"/>
      <c r="BR35" s="1076">
        <f>(499.48+464.75+50)</f>
        <v>1014.23</v>
      </c>
      <c r="BS35" s="1915" t="s">
        <v>783</v>
      </c>
      <c r="BT35" s="1916"/>
      <c r="BU35" s="1917"/>
    </row>
    <row r="36" spans="2:73" ht="15" thickTop="1" x14ac:dyDescent="0.2">
      <c r="E36" s="148"/>
      <c r="F36" s="148"/>
      <c r="G36" s="148"/>
      <c r="H36" s="148"/>
      <c r="I36" s="148"/>
      <c r="J36" s="148"/>
      <c r="O36" s="1515" t="s">
        <v>192</v>
      </c>
      <c r="P36" s="1516"/>
      <c r="Q36" s="1154">
        <v>8.2500000000000004E-2</v>
      </c>
      <c r="R36" s="242"/>
      <c r="S36" s="243"/>
      <c r="T36" s="130">
        <f>(14470.95*Q36)</f>
        <v>1193.8533750000001</v>
      </c>
      <c r="U36" s="128"/>
      <c r="V36" s="109"/>
      <c r="W36" s="109"/>
      <c r="AD36" s="189"/>
      <c r="AE36" s="190"/>
      <c r="AG36" s="1515" t="s">
        <v>152</v>
      </c>
      <c r="AH36" s="1516"/>
      <c r="AI36" s="1516"/>
      <c r="AJ36" s="1516"/>
      <c r="AK36" s="209"/>
      <c r="AL36" s="130">
        <v>12800</v>
      </c>
      <c r="AN36" s="1504" t="s">
        <v>114</v>
      </c>
      <c r="AO36" s="1505"/>
      <c r="AP36" s="1518"/>
      <c r="AQ36" s="116">
        <v>150</v>
      </c>
      <c r="AX36" s="1151" t="s">
        <v>631</v>
      </c>
      <c r="AY36" s="1025">
        <v>144</v>
      </c>
      <c r="AZ36" s="1745">
        <f>(51*8.25%)+(51*15%)+51</f>
        <v>62.857500000000002</v>
      </c>
      <c r="BA36" s="1152">
        <f>(62*8.25%)+62</f>
        <v>67.114999999999995</v>
      </c>
      <c r="BB36" s="1152">
        <f>AY36*AZ36</f>
        <v>9051.48</v>
      </c>
      <c r="BC36" s="1153">
        <f>(AY36*BA36)+649</f>
        <v>10313.56</v>
      </c>
      <c r="BD36" s="1925"/>
      <c r="BE36" s="1926"/>
      <c r="BF36" s="1927"/>
      <c r="BH36" s="1093"/>
      <c r="BO36" s="1059" t="s">
        <v>784</v>
      </c>
      <c r="BP36" s="1029"/>
      <c r="BQ36" s="1690"/>
      <c r="BR36" s="1076">
        <v>5.04</v>
      </c>
      <c r="BS36" s="1918"/>
      <c r="BT36" s="1919"/>
      <c r="BU36" s="1920"/>
    </row>
    <row r="37" spans="2:73" ht="13.5" thickBot="1" x14ac:dyDescent="0.25">
      <c r="O37" s="1079" t="s">
        <v>194</v>
      </c>
      <c r="P37" s="1080"/>
      <c r="Q37" s="1081"/>
      <c r="R37" s="245"/>
      <c r="S37" s="245"/>
      <c r="T37" s="246">
        <f>SUM(T27:T36)</f>
        <v>15664.803375000001</v>
      </c>
      <c r="U37" s="1638"/>
      <c r="V37" s="109"/>
      <c r="W37" s="109"/>
      <c r="AD37" s="1160" t="s">
        <v>245</v>
      </c>
      <c r="AE37" s="1161">
        <f>AE20-AE35</f>
        <v>9965</v>
      </c>
      <c r="AG37" s="1889" t="s">
        <v>153</v>
      </c>
      <c r="AH37" s="1890"/>
      <c r="AI37" s="1890"/>
      <c r="AJ37" s="1516"/>
      <c r="AK37" s="209"/>
      <c r="AL37" s="130">
        <v>800</v>
      </c>
      <c r="AN37" s="1504" t="s">
        <v>28</v>
      </c>
      <c r="AO37" s="1505"/>
      <c r="AP37" s="1518"/>
      <c r="AQ37" s="116">
        <v>350</v>
      </c>
      <c r="AX37" s="1074" t="s">
        <v>632</v>
      </c>
      <c r="AY37" s="1022"/>
      <c r="AZ37" s="1037"/>
      <c r="BA37" s="1155"/>
      <c r="BB37" s="1155"/>
      <c r="BC37" s="1156"/>
      <c r="BD37" s="1157"/>
      <c r="BE37" s="1158"/>
      <c r="BF37" s="1159"/>
      <c r="BO37" s="1059" t="s">
        <v>785</v>
      </c>
      <c r="BP37" s="1029"/>
      <c r="BQ37" s="1690"/>
      <c r="BR37" s="1076"/>
      <c r="BS37" s="1918"/>
      <c r="BT37" s="1919"/>
      <c r="BU37" s="1920"/>
    </row>
    <row r="38" spans="2:73" ht="15" x14ac:dyDescent="0.25">
      <c r="B38" s="1795" t="s">
        <v>827</v>
      </c>
      <c r="C38" s="1799">
        <f>8750</f>
        <v>8750</v>
      </c>
      <c r="O38" s="1504" t="s">
        <v>195</v>
      </c>
      <c r="P38" s="1505"/>
      <c r="Q38" s="1505"/>
      <c r="R38" s="242"/>
      <c r="S38" s="243"/>
      <c r="T38" s="247"/>
      <c r="U38" s="128"/>
      <c r="V38" s="109"/>
      <c r="W38" s="109"/>
      <c r="AD38" s="1163"/>
      <c r="AE38" s="135"/>
      <c r="AG38" s="1889" t="s">
        <v>154</v>
      </c>
      <c r="AH38" s="1890"/>
      <c r="AI38" s="1890"/>
      <c r="AJ38" s="1516"/>
      <c r="AK38" s="210"/>
      <c r="AL38" s="130">
        <v>3000</v>
      </c>
      <c r="AN38" s="1504" t="s">
        <v>229</v>
      </c>
      <c r="AO38" s="1505"/>
      <c r="AP38" s="1518"/>
      <c r="AQ38" s="116">
        <v>75</v>
      </c>
      <c r="AX38" s="1074" t="s">
        <v>634</v>
      </c>
      <c r="AY38" s="1022">
        <v>144</v>
      </c>
      <c r="AZ38" s="1744">
        <f>(16*6.75%)+(16*15%)+16</f>
        <v>19.48</v>
      </c>
      <c r="BA38" s="1155">
        <f>(15*8.25%)+(15*20%)+15</f>
        <v>19.237500000000001</v>
      </c>
      <c r="BB38" s="1155">
        <f>AY38*AZ38</f>
        <v>2805.12</v>
      </c>
      <c r="BC38" s="1162">
        <f>AY38*BA38</f>
        <v>2770.2000000000003</v>
      </c>
      <c r="BD38" s="1912" t="s">
        <v>633</v>
      </c>
      <c r="BE38" s="1913"/>
      <c r="BF38" s="1914"/>
      <c r="BO38" s="1059"/>
      <c r="BP38" s="1029"/>
      <c r="BQ38" s="1690"/>
      <c r="BR38" s="1695"/>
      <c r="BS38" s="1918"/>
      <c r="BT38" s="1919"/>
      <c r="BU38" s="1920"/>
    </row>
    <row r="39" spans="2:73" x14ac:dyDescent="0.2">
      <c r="B39" s="1795" t="s">
        <v>828</v>
      </c>
      <c r="C39" s="1799">
        <f>2750</f>
        <v>2750</v>
      </c>
      <c r="O39" s="1504" t="s">
        <v>196</v>
      </c>
      <c r="P39" s="1505"/>
      <c r="Q39" s="1505"/>
      <c r="R39" s="242"/>
      <c r="S39" s="243"/>
      <c r="T39" s="138">
        <v>0</v>
      </c>
      <c r="U39" s="128"/>
      <c r="AG39" s="1889" t="s">
        <v>259</v>
      </c>
      <c r="AH39" s="1890"/>
      <c r="AI39" s="1890"/>
      <c r="AJ39" s="1890"/>
      <c r="AK39" s="1921"/>
      <c r="AL39" s="130">
        <v>800</v>
      </c>
      <c r="AN39" s="1504" t="s">
        <v>27</v>
      </c>
      <c r="AO39" s="1505"/>
      <c r="AP39" s="1518"/>
      <c r="AQ39" s="116">
        <v>230</v>
      </c>
      <c r="AX39" s="1074" t="s">
        <v>797</v>
      </c>
      <c r="AY39" s="1029">
        <v>200</v>
      </c>
      <c r="AZ39" s="1743">
        <f>(6*6.75%)+(6*15%)+6</f>
        <v>7.3049999999999997</v>
      </c>
      <c r="BA39" s="1164">
        <f>(6*8.25%)+(6*20%)+6</f>
        <v>7.6950000000000003</v>
      </c>
      <c r="BB39" s="1164">
        <f>AY39*AZ39</f>
        <v>1461</v>
      </c>
      <c r="BC39" s="1162">
        <f>AY39*BA39</f>
        <v>1539</v>
      </c>
      <c r="BD39" s="1912" t="s">
        <v>633</v>
      </c>
      <c r="BE39" s="1913"/>
      <c r="BF39" s="1914"/>
      <c r="BO39" s="1696" t="s">
        <v>642</v>
      </c>
      <c r="BP39" s="1697"/>
      <c r="BQ39" s="1698"/>
      <c r="BR39" s="1699"/>
      <c r="BS39" s="1897"/>
      <c r="BT39" s="1898"/>
      <c r="BU39" s="1899"/>
    </row>
    <row r="40" spans="2:73" ht="13.5" thickBot="1" x14ac:dyDescent="0.25">
      <c r="B40" s="1796" t="s">
        <v>823</v>
      </c>
      <c r="C40" s="1797">
        <f>C11+M11+T25+W15+AL23+AQ17+BC33+C38</f>
        <v>395385</v>
      </c>
      <c r="O40" s="1504" t="s">
        <v>197</v>
      </c>
      <c r="P40" s="1505"/>
      <c r="Q40" s="1505"/>
      <c r="R40" s="242"/>
      <c r="S40" s="243"/>
      <c r="T40" s="248">
        <f>50+50+50+2.77+75+65.35+81.78+87.13</f>
        <v>462.03</v>
      </c>
      <c r="U40" s="141"/>
      <c r="AG40" s="1889" t="s">
        <v>109</v>
      </c>
      <c r="AH40" s="1890"/>
      <c r="AI40" s="1890"/>
      <c r="AJ40" s="1516"/>
      <c r="AK40" s="210"/>
      <c r="AL40" s="130">
        <v>0</v>
      </c>
      <c r="AN40" s="1506" t="s">
        <v>25</v>
      </c>
      <c r="AO40" s="1507"/>
      <c r="AP40" s="1508"/>
      <c r="AQ40" s="171">
        <f>SUM(AQ19:AQ39)</f>
        <v>25955</v>
      </c>
      <c r="AX40" s="1059" t="s">
        <v>635</v>
      </c>
      <c r="AY40" s="1029">
        <v>320</v>
      </c>
      <c r="AZ40" s="1743">
        <f>(2.5*6.75%)+(2.5*15%)+2.5</f>
        <v>3.0437500000000002</v>
      </c>
      <c r="BA40" s="1064">
        <f>(5*8.25%)+(5*20%)+5</f>
        <v>6.4124999999999996</v>
      </c>
      <c r="BB40" s="1645">
        <f>AY40*AZ40</f>
        <v>974</v>
      </c>
      <c r="BC40" s="1162">
        <f>AY40*BA40</f>
        <v>2052</v>
      </c>
      <c r="BD40" s="1912" t="s">
        <v>633</v>
      </c>
      <c r="BE40" s="1913"/>
      <c r="BF40" s="1914"/>
      <c r="BO40" s="1087" t="s">
        <v>8</v>
      </c>
      <c r="BP40" s="1700"/>
      <c r="BQ40" s="1701"/>
      <c r="BR40" s="1702">
        <f>SUM(BR29:BR39)</f>
        <v>19317.55</v>
      </c>
      <c r="BS40" s="1891"/>
      <c r="BT40" s="1892"/>
      <c r="BU40" s="1893"/>
    </row>
    <row r="41" spans="2:73" ht="14.25" thickTop="1" thickBot="1" x14ac:dyDescent="0.25">
      <c r="B41" s="1796" t="s">
        <v>822</v>
      </c>
      <c r="C41" s="1797">
        <f>C31+H30+M24+T77+W30+AB30+AL44+AQ40+BC53+C39</f>
        <v>235024.55837490002</v>
      </c>
      <c r="O41" s="1504" t="s">
        <v>198</v>
      </c>
      <c r="P41" s="1505"/>
      <c r="Q41" s="1505"/>
      <c r="R41" s="242"/>
      <c r="S41" s="243"/>
      <c r="T41" s="249"/>
      <c r="U41" s="1703"/>
      <c r="AG41" s="1889" t="s">
        <v>66</v>
      </c>
      <c r="AH41" s="1890"/>
      <c r="AI41" s="1890"/>
      <c r="AJ41" s="1516"/>
      <c r="AK41" s="210"/>
      <c r="AL41" s="130">
        <v>300</v>
      </c>
      <c r="AN41" s="1171"/>
      <c r="AO41" s="1172"/>
      <c r="AP41" s="1173"/>
      <c r="AQ41" s="174"/>
      <c r="AX41" s="1059" t="s">
        <v>801</v>
      </c>
      <c r="AY41" s="1029"/>
      <c r="AZ41" s="1743">
        <f>(6*6.75%)+(6*15%)+6</f>
        <v>7.3049999999999997</v>
      </c>
      <c r="BA41" s="1064">
        <v>12.65</v>
      </c>
      <c r="BB41" s="1645">
        <f>AY41*AZ41</f>
        <v>0</v>
      </c>
      <c r="BC41" s="1162">
        <f>AY41*BA41</f>
        <v>0</v>
      </c>
      <c r="BD41" s="1912" t="s">
        <v>633</v>
      </c>
      <c r="BE41" s="1913"/>
      <c r="BF41" s="1914"/>
      <c r="BO41" s="1704" t="s">
        <v>540</v>
      </c>
      <c r="BP41" s="1705"/>
      <c r="BQ41" s="1706"/>
      <c r="BR41" s="1707">
        <f>BR26-BR40</f>
        <v>8882.4500000000007</v>
      </c>
      <c r="BS41" s="1708" t="s">
        <v>786</v>
      </c>
      <c r="BT41" s="1709"/>
      <c r="BU41" s="1710"/>
    </row>
    <row r="42" spans="2:73" ht="14.25" thickTop="1" thickBot="1" x14ac:dyDescent="0.25">
      <c r="B42" s="1796" t="s">
        <v>824</v>
      </c>
      <c r="C42" s="1797">
        <f>C40-C41</f>
        <v>160360.44162509998</v>
      </c>
      <c r="O42" s="1504" t="s">
        <v>199</v>
      </c>
      <c r="P42" s="1505"/>
      <c r="Q42" s="1505"/>
      <c r="R42" s="242"/>
      <c r="S42" s="243"/>
      <c r="T42" s="249"/>
      <c r="U42" s="1703"/>
      <c r="AG42" s="1165" t="s">
        <v>130</v>
      </c>
      <c r="AH42" s="1166"/>
      <c r="AI42" s="1505"/>
      <c r="AJ42" s="1516"/>
      <c r="AK42" s="210"/>
      <c r="AL42" s="140">
        <v>0</v>
      </c>
      <c r="AN42" s="1894" t="s">
        <v>245</v>
      </c>
      <c r="AO42" s="1895"/>
      <c r="AP42" s="1896"/>
      <c r="AQ42" s="199">
        <f>AQ17-AQ40</f>
        <v>27670</v>
      </c>
      <c r="AX42" s="1059" t="s">
        <v>798</v>
      </c>
      <c r="AY42" s="1029">
        <v>1</v>
      </c>
      <c r="AZ42" s="1013">
        <v>0</v>
      </c>
      <c r="BA42" s="1064">
        <v>0</v>
      </c>
      <c r="BB42" s="1645">
        <f>AY42*AZ42</f>
        <v>0</v>
      </c>
      <c r="BC42" s="1162">
        <f>AY42*BA42</f>
        <v>0</v>
      </c>
      <c r="BD42" s="1512"/>
      <c r="BE42" s="1513"/>
      <c r="BF42" s="1514"/>
    </row>
    <row r="43" spans="2:73" ht="14.25" x14ac:dyDescent="0.2">
      <c r="C43" s="1798">
        <f>C33+M26+T79+W32+AL46+AQ42+BC54+H32+AB32</f>
        <v>154360.44162509998</v>
      </c>
      <c r="O43" s="1504" t="s">
        <v>200</v>
      </c>
      <c r="P43" s="1505"/>
      <c r="Q43" s="1505"/>
      <c r="R43" s="242"/>
      <c r="S43" s="243"/>
      <c r="T43" s="130">
        <v>15.04</v>
      </c>
      <c r="U43" s="128"/>
      <c r="AG43" s="1168" t="s">
        <v>27</v>
      </c>
      <c r="AH43" s="1169" t="s">
        <v>142</v>
      </c>
      <c r="AI43" s="1170"/>
      <c r="AJ43" s="1069"/>
      <c r="AK43" s="211"/>
      <c r="AL43" s="212">
        <v>400</v>
      </c>
      <c r="AN43" s="1176"/>
      <c r="AO43" s="1176"/>
      <c r="AP43" s="1176"/>
      <c r="AQ43" s="1176"/>
      <c r="AX43" s="1059" t="s">
        <v>636</v>
      </c>
      <c r="AY43" s="1167"/>
      <c r="AZ43" s="1734"/>
      <c r="BA43" s="1064"/>
      <c r="BB43" s="1645">
        <f>2000</f>
        <v>2000</v>
      </c>
      <c r="BC43" s="1162">
        <v>2000</v>
      </c>
      <c r="BD43" s="1897"/>
      <c r="BE43" s="1898"/>
      <c r="BF43" s="1899"/>
    </row>
    <row r="44" spans="2:73" ht="15" thickBot="1" x14ac:dyDescent="0.25">
      <c r="O44" s="1504" t="s">
        <v>201</v>
      </c>
      <c r="P44" s="1505"/>
      <c r="Q44" s="1505"/>
      <c r="R44" s="242"/>
      <c r="S44" s="243"/>
      <c r="T44" s="130">
        <v>20.010000000000002</v>
      </c>
      <c r="U44" s="128"/>
      <c r="AG44" s="1900" t="s">
        <v>25</v>
      </c>
      <c r="AH44" s="1901"/>
      <c r="AI44" s="1902"/>
      <c r="AJ44" s="213"/>
      <c r="AK44" s="214"/>
      <c r="AL44" s="215">
        <f>SUM(AL24:AL43)</f>
        <v>48100</v>
      </c>
      <c r="AN44" s="1176"/>
      <c r="AO44" s="1176"/>
      <c r="AP44" s="1176"/>
      <c r="AQ44" s="1176"/>
      <c r="AX44" s="1059" t="s">
        <v>637</v>
      </c>
      <c r="AY44" s="1029"/>
      <c r="AZ44" s="1013"/>
      <c r="BA44" s="1174"/>
      <c r="BB44" s="1785">
        <f>500</f>
        <v>500</v>
      </c>
      <c r="BC44" s="1175">
        <v>500</v>
      </c>
      <c r="BD44" s="1897" t="s">
        <v>814</v>
      </c>
      <c r="BE44" s="1898"/>
      <c r="BF44" s="1899"/>
    </row>
    <row r="45" spans="2:73" ht="13.5" thickTop="1" x14ac:dyDescent="0.2">
      <c r="O45" s="1504" t="s">
        <v>202</v>
      </c>
      <c r="P45" s="1505"/>
      <c r="Q45" s="1505"/>
      <c r="R45" s="242"/>
      <c r="S45" s="243"/>
      <c r="T45" s="250"/>
      <c r="U45" s="1703"/>
      <c r="AG45" s="1903"/>
      <c r="AH45" s="1904"/>
      <c r="AI45" s="1905"/>
      <c r="AJ45" s="216"/>
      <c r="AK45" s="217"/>
      <c r="AL45" s="218"/>
      <c r="AX45" s="1059" t="s">
        <v>802</v>
      </c>
      <c r="AY45" s="1029"/>
      <c r="AZ45" s="1013"/>
      <c r="BA45" s="1174"/>
      <c r="BB45" s="1785">
        <f>250</f>
        <v>250</v>
      </c>
      <c r="BC45" s="1175">
        <f>250</f>
        <v>250</v>
      </c>
      <c r="BD45" s="1897" t="s">
        <v>800</v>
      </c>
      <c r="BE45" s="1898"/>
      <c r="BF45" s="1899"/>
    </row>
    <row r="46" spans="2:73" ht="13.5" thickBot="1" x14ac:dyDescent="0.25">
      <c r="O46" s="1504" t="s">
        <v>203</v>
      </c>
      <c r="P46" s="1505"/>
      <c r="Q46" s="1505"/>
      <c r="R46" s="242"/>
      <c r="S46" s="243"/>
      <c r="T46" s="250"/>
      <c r="U46" s="1703"/>
      <c r="AG46" s="1906" t="s">
        <v>245</v>
      </c>
      <c r="AH46" s="1907"/>
      <c r="AI46" s="1908"/>
      <c r="AJ46" s="219"/>
      <c r="AK46" s="220"/>
      <c r="AL46" s="177">
        <f>AL23-AL44</f>
        <v>75260</v>
      </c>
      <c r="AX46" s="1059" t="s">
        <v>638</v>
      </c>
      <c r="AY46" s="1029"/>
      <c r="AZ46" s="1013"/>
      <c r="BA46" s="1174"/>
      <c r="BB46" s="1785">
        <f>1500</f>
        <v>1500</v>
      </c>
      <c r="BC46" s="1175">
        <f>1500</f>
        <v>1500</v>
      </c>
      <c r="BD46" s="1897"/>
      <c r="BE46" s="1898"/>
      <c r="BF46" s="1899"/>
    </row>
    <row r="47" spans="2:73" ht="15" x14ac:dyDescent="0.25">
      <c r="O47" s="1504" t="s">
        <v>235</v>
      </c>
      <c r="P47" s="1505"/>
      <c r="Q47" s="1505"/>
      <c r="R47" s="242"/>
      <c r="S47" s="243"/>
      <c r="T47" s="130">
        <f>(275.19+132.99)</f>
        <v>408.18</v>
      </c>
      <c r="U47" s="128"/>
      <c r="AG47" s="1177"/>
      <c r="AH47" s="1177"/>
      <c r="AI47" s="1177"/>
      <c r="AJ47" s="634"/>
      <c r="AK47" s="1711"/>
      <c r="AL47" s="1711"/>
      <c r="AX47" s="1059" t="s">
        <v>799</v>
      </c>
      <c r="AY47" s="1029">
        <v>1</v>
      </c>
      <c r="AZ47" s="1013">
        <v>0</v>
      </c>
      <c r="BA47" s="1174">
        <f>(250*8.25%)+(250*20%)+250</f>
        <v>320.625</v>
      </c>
      <c r="BB47" s="1785">
        <f>AY47*AZ47</f>
        <v>0</v>
      </c>
      <c r="BC47" s="1175">
        <f>AY47*BA47</f>
        <v>320.625</v>
      </c>
      <c r="BD47" s="1897"/>
      <c r="BE47" s="1898"/>
      <c r="BF47" s="1899"/>
    </row>
    <row r="48" spans="2:73" x14ac:dyDescent="0.2">
      <c r="O48" s="1504" t="s">
        <v>204</v>
      </c>
      <c r="P48" s="1505"/>
      <c r="Q48" s="1505"/>
      <c r="R48" s="242"/>
      <c r="S48" s="243"/>
      <c r="T48" s="130">
        <v>0</v>
      </c>
      <c r="U48" s="128"/>
      <c r="AX48" s="1059" t="s">
        <v>639</v>
      </c>
      <c r="AY48" s="1029"/>
      <c r="AZ48" s="1013"/>
      <c r="BA48" s="1174"/>
      <c r="BB48" s="1785">
        <f>250</f>
        <v>250</v>
      </c>
      <c r="BC48" s="1175">
        <f>250</f>
        <v>250</v>
      </c>
      <c r="BD48" s="1897"/>
      <c r="BE48" s="1898"/>
      <c r="BF48" s="1899"/>
    </row>
    <row r="49" spans="15:58" x14ac:dyDescent="0.2">
      <c r="O49" s="1504" t="s">
        <v>205</v>
      </c>
      <c r="P49" s="1505"/>
      <c r="Q49" s="1505"/>
      <c r="R49" s="242"/>
      <c r="S49" s="243"/>
      <c r="T49" s="250"/>
      <c r="U49" s="1703"/>
      <c r="AX49" s="1059" t="s">
        <v>640</v>
      </c>
      <c r="AY49" s="1029"/>
      <c r="AZ49" s="1013"/>
      <c r="BA49" s="1174"/>
      <c r="BB49" s="1785">
        <f>225</f>
        <v>225</v>
      </c>
      <c r="BC49" s="1175">
        <v>225</v>
      </c>
      <c r="BD49" s="1897"/>
      <c r="BE49" s="1898"/>
      <c r="BF49" s="1899"/>
    </row>
    <row r="50" spans="15:58" x14ac:dyDescent="0.2">
      <c r="O50" s="1504" t="s">
        <v>206</v>
      </c>
      <c r="P50" s="1505"/>
      <c r="Q50" s="1505"/>
      <c r="R50" s="242"/>
      <c r="S50" s="243"/>
      <c r="T50" s="130">
        <f>(55.14+386.13+95.36+282.21+188.14+288.87+258.68)</f>
        <v>1554.53</v>
      </c>
      <c r="U50" s="128"/>
      <c r="AX50" s="1059" t="s">
        <v>641</v>
      </c>
      <c r="AY50" s="1029"/>
      <c r="AZ50" s="1013"/>
      <c r="BA50" s="1174"/>
      <c r="BB50" s="1785"/>
      <c r="BC50" s="1175">
        <v>0</v>
      </c>
      <c r="BD50" s="1501"/>
      <c r="BE50" s="1502"/>
      <c r="BF50" s="1503"/>
    </row>
    <row r="51" spans="15:58" x14ac:dyDescent="0.2">
      <c r="O51" s="1504" t="s">
        <v>207</v>
      </c>
      <c r="P51" s="1505"/>
      <c r="Q51" s="1505"/>
      <c r="R51" s="242"/>
      <c r="S51" s="243"/>
      <c r="T51" s="130">
        <v>289.5</v>
      </c>
      <c r="U51" s="128"/>
      <c r="AX51" s="1059"/>
      <c r="AY51" s="1029"/>
      <c r="AZ51" s="1013"/>
      <c r="BA51" s="1174"/>
      <c r="BB51" s="1174"/>
      <c r="BC51" s="108"/>
      <c r="BD51" s="1897"/>
      <c r="BE51" s="1898"/>
      <c r="BF51" s="1899"/>
    </row>
    <row r="52" spans="15:58" x14ac:dyDescent="0.2">
      <c r="O52" s="1504" t="s">
        <v>208</v>
      </c>
      <c r="P52" s="1505"/>
      <c r="Q52" s="1518"/>
      <c r="R52" s="242"/>
      <c r="S52" s="243"/>
      <c r="T52" s="138">
        <v>0</v>
      </c>
      <c r="U52" s="128"/>
      <c r="AX52" s="1059" t="s">
        <v>642</v>
      </c>
      <c r="AY52" s="1029"/>
      <c r="AZ52" s="1013"/>
      <c r="BA52" s="110"/>
      <c r="BB52" s="1731"/>
      <c r="BD52" s="1897"/>
      <c r="BE52" s="1898"/>
      <c r="BF52" s="1899"/>
    </row>
    <row r="53" spans="15:58" ht="13.5" thickBot="1" x14ac:dyDescent="0.25">
      <c r="O53" s="1079" t="s">
        <v>209</v>
      </c>
      <c r="P53" s="1080"/>
      <c r="Q53" s="1081"/>
      <c r="R53" s="245"/>
      <c r="S53" s="245"/>
      <c r="T53" s="246">
        <f>SUM(T39:T52)</f>
        <v>2749.29</v>
      </c>
      <c r="U53" s="1638"/>
      <c r="AX53" s="1178" t="s">
        <v>8</v>
      </c>
      <c r="AY53" s="1179"/>
      <c r="AZ53" s="1735"/>
      <c r="BA53" s="1180"/>
      <c r="BB53" s="1181">
        <f>SUM(BB36:BB52)</f>
        <v>19016.599999999999</v>
      </c>
      <c r="BC53" s="1181">
        <f>SUM(BC36:BC52)</f>
        <v>21720.385000000002</v>
      </c>
      <c r="BD53" s="1909"/>
      <c r="BE53" s="1910"/>
      <c r="BF53" s="1911"/>
    </row>
    <row r="54" spans="15:58" ht="13.5" thickBot="1" x14ac:dyDescent="0.25">
      <c r="O54" s="1504" t="s">
        <v>210</v>
      </c>
      <c r="P54" s="1505"/>
      <c r="Q54" s="1505"/>
      <c r="R54" s="242"/>
      <c r="S54" s="243"/>
      <c r="T54" s="138"/>
      <c r="U54" s="128"/>
      <c r="AX54" s="1182" t="s">
        <v>540</v>
      </c>
      <c r="AY54" s="1183"/>
      <c r="AZ54" s="1183"/>
      <c r="BA54" s="1183"/>
      <c r="BB54" s="1184">
        <f>BB33-BB53</f>
        <v>5983.4000000000015</v>
      </c>
      <c r="BC54" s="1184">
        <f>BC33-BC53</f>
        <v>3279.614999999998</v>
      </c>
      <c r="BD54" s="1185" t="s">
        <v>643</v>
      </c>
      <c r="BE54" s="1129"/>
      <c r="BF54" s="1186"/>
    </row>
    <row r="55" spans="15:58" x14ac:dyDescent="0.2">
      <c r="O55" s="1504" t="s">
        <v>236</v>
      </c>
      <c r="P55" s="1505"/>
      <c r="Q55" s="1166"/>
      <c r="R55" s="242"/>
      <c r="S55" s="243"/>
      <c r="T55" s="1187">
        <f>1450+1740.5+12.99+184.36</f>
        <v>3387.85</v>
      </c>
      <c r="U55" s="1712"/>
    </row>
    <row r="56" spans="15:58" x14ac:dyDescent="0.2">
      <c r="O56" s="1504" t="s">
        <v>237</v>
      </c>
      <c r="P56" s="1505"/>
      <c r="Q56" s="1505"/>
      <c r="R56" s="242"/>
      <c r="S56" s="243"/>
      <c r="T56" s="1188">
        <f>1000+1500</f>
        <v>2500</v>
      </c>
      <c r="U56" s="1712"/>
    </row>
    <row r="57" spans="15:58" x14ac:dyDescent="0.2">
      <c r="O57" s="1504" t="s">
        <v>238</v>
      </c>
      <c r="P57" s="1505"/>
      <c r="Q57" s="1505"/>
      <c r="R57" s="242"/>
      <c r="S57" s="243"/>
      <c r="T57" s="1188">
        <v>1500</v>
      </c>
      <c r="U57" s="1712"/>
    </row>
    <row r="58" spans="15:58" x14ac:dyDescent="0.2">
      <c r="O58" s="1889" t="s">
        <v>239</v>
      </c>
      <c r="P58" s="1890"/>
      <c r="Q58" s="1170"/>
      <c r="R58" s="251"/>
      <c r="S58" s="141"/>
      <c r="T58" s="1189">
        <v>112.15</v>
      </c>
      <c r="U58" s="1712"/>
    </row>
    <row r="59" spans="15:58" ht="13.5" thickBot="1" x14ac:dyDescent="0.25">
      <c r="O59" s="1079" t="s">
        <v>211</v>
      </c>
      <c r="P59" s="1080"/>
      <c r="Q59" s="1081"/>
      <c r="R59" s="245"/>
      <c r="S59" s="245"/>
      <c r="T59" s="246">
        <f>SUM(T55:T58)</f>
        <v>7500</v>
      </c>
      <c r="U59" s="1638"/>
    </row>
    <row r="60" spans="15:58" x14ac:dyDescent="0.2">
      <c r="O60" s="1504" t="s">
        <v>217</v>
      </c>
      <c r="P60" s="1505"/>
      <c r="Q60" s="1505"/>
      <c r="R60" s="252">
        <v>300</v>
      </c>
      <c r="S60" s="253"/>
      <c r="T60" s="247"/>
      <c r="U60" s="128"/>
    </row>
    <row r="61" spans="15:58" x14ac:dyDescent="0.2">
      <c r="O61" s="1504" t="s">
        <v>218</v>
      </c>
      <c r="P61" s="1505"/>
      <c r="Q61" s="1505"/>
      <c r="R61" s="254"/>
      <c r="S61" s="120">
        <v>2.4632666670000001</v>
      </c>
      <c r="T61" s="130">
        <f>R60*S61</f>
        <v>738.98000009999998</v>
      </c>
      <c r="U61" s="128"/>
    </row>
    <row r="62" spans="15:58" x14ac:dyDescent="0.2">
      <c r="O62" s="1504" t="s">
        <v>219</v>
      </c>
      <c r="P62" s="1505"/>
      <c r="Q62" s="1505"/>
      <c r="R62" s="254"/>
      <c r="S62" s="120">
        <v>1.8877330000000001</v>
      </c>
      <c r="T62" s="130">
        <f>S62*R60</f>
        <v>566.31990000000008</v>
      </c>
      <c r="U62" s="128"/>
    </row>
    <row r="63" spans="15:58" x14ac:dyDescent="0.2">
      <c r="O63" s="1504" t="s">
        <v>220</v>
      </c>
      <c r="P63" s="1505"/>
      <c r="Q63" s="1505"/>
      <c r="R63" s="254"/>
      <c r="S63" s="120">
        <v>1.0226999999999999</v>
      </c>
      <c r="T63" s="130">
        <f>S63*R60</f>
        <v>306.81</v>
      </c>
      <c r="U63" s="128"/>
    </row>
    <row r="64" spans="15:58" x14ac:dyDescent="0.2">
      <c r="O64" s="1504" t="s">
        <v>221</v>
      </c>
      <c r="P64" s="1505"/>
      <c r="Q64" s="1505"/>
      <c r="R64" s="254"/>
      <c r="S64" s="120">
        <v>1.3631200000000001</v>
      </c>
      <c r="T64" s="130">
        <f>S64*R60</f>
        <v>408.93600000000004</v>
      </c>
      <c r="U64" s="128"/>
    </row>
    <row r="65" spans="15:21" x14ac:dyDescent="0.2">
      <c r="O65" s="1504" t="s">
        <v>222</v>
      </c>
      <c r="P65" s="1505"/>
      <c r="Q65" s="1505"/>
      <c r="R65" s="254"/>
      <c r="S65" s="120">
        <v>1.1323300000000001</v>
      </c>
      <c r="T65" s="130">
        <f>S65*R60</f>
        <v>339.69900000000001</v>
      </c>
      <c r="U65" s="128"/>
    </row>
    <row r="66" spans="15:21" x14ac:dyDescent="0.2">
      <c r="O66" s="1504" t="s">
        <v>223</v>
      </c>
      <c r="P66" s="1505"/>
      <c r="Q66" s="1505"/>
      <c r="R66" s="254"/>
      <c r="S66" s="120">
        <v>2.163233333</v>
      </c>
      <c r="T66" s="130">
        <f>S66*R60</f>
        <v>648.96999989999995</v>
      </c>
      <c r="U66" s="128"/>
    </row>
    <row r="67" spans="15:21" x14ac:dyDescent="0.2">
      <c r="O67" s="1504" t="s">
        <v>224</v>
      </c>
      <c r="P67" s="1505"/>
      <c r="Q67" s="1505"/>
      <c r="R67" s="254"/>
      <c r="S67" s="47">
        <v>2.2418300000000002</v>
      </c>
      <c r="T67" s="130">
        <f>S67*R60</f>
        <v>672.54900000000009</v>
      </c>
      <c r="U67" s="128"/>
    </row>
    <row r="68" spans="15:21" ht="13.5" thickBot="1" x14ac:dyDescent="0.25">
      <c r="O68" s="1079" t="s">
        <v>225</v>
      </c>
      <c r="P68" s="1080"/>
      <c r="Q68" s="1081"/>
      <c r="R68" s="245"/>
      <c r="S68" s="245"/>
      <c r="T68" s="246">
        <f>T66</f>
        <v>648.96999989999995</v>
      </c>
      <c r="U68" s="1638"/>
    </row>
    <row r="69" spans="15:21" x14ac:dyDescent="0.2">
      <c r="O69" s="1504" t="s">
        <v>41</v>
      </c>
      <c r="P69" s="1505"/>
      <c r="Q69" s="1505"/>
      <c r="R69" s="242"/>
      <c r="S69" s="253"/>
      <c r="T69" s="255">
        <f>21.9+26.93+15.16+45.31+79</f>
        <v>188.3</v>
      </c>
      <c r="U69" s="1713"/>
    </row>
    <row r="70" spans="15:21" x14ac:dyDescent="0.2">
      <c r="O70" s="1504" t="s">
        <v>212</v>
      </c>
      <c r="P70" s="1505"/>
      <c r="Q70" s="1505"/>
      <c r="R70" s="242"/>
      <c r="S70" s="243"/>
      <c r="T70" s="256">
        <v>1000</v>
      </c>
      <c r="U70" s="1714"/>
    </row>
    <row r="71" spans="15:21" x14ac:dyDescent="0.2">
      <c r="O71" s="1504" t="s">
        <v>213</v>
      </c>
      <c r="P71" s="1505"/>
      <c r="Q71" s="1505"/>
      <c r="R71" s="242"/>
      <c r="S71" s="243"/>
      <c r="T71" s="256">
        <v>0</v>
      </c>
      <c r="U71" s="1714"/>
    </row>
    <row r="72" spans="15:21" x14ac:dyDescent="0.2">
      <c r="O72" s="1504" t="s">
        <v>214</v>
      </c>
      <c r="P72" s="1505"/>
      <c r="Q72" s="1505"/>
      <c r="R72" s="242"/>
      <c r="S72" s="243"/>
      <c r="T72" s="256">
        <v>680</v>
      </c>
      <c r="U72" s="1714"/>
    </row>
    <row r="73" spans="15:21" x14ac:dyDescent="0.2">
      <c r="O73" s="1504" t="s">
        <v>215</v>
      </c>
      <c r="P73" s="1505"/>
      <c r="Q73" s="1505"/>
      <c r="R73" s="242"/>
      <c r="S73" s="243"/>
      <c r="T73" s="257" t="s">
        <v>260</v>
      </c>
      <c r="U73" s="1715"/>
    </row>
    <row r="74" spans="15:21" x14ac:dyDescent="0.2">
      <c r="O74" s="1504" t="s">
        <v>216</v>
      </c>
      <c r="P74" s="1505"/>
      <c r="Q74" s="1505"/>
      <c r="R74" s="242"/>
      <c r="S74" s="243"/>
      <c r="T74" s="256">
        <v>600</v>
      </c>
      <c r="U74" s="1714"/>
    </row>
    <row r="75" spans="15:21" ht="13.5" thickBot="1" x14ac:dyDescent="0.25">
      <c r="O75" s="1079" t="s">
        <v>226</v>
      </c>
      <c r="P75" s="1080"/>
      <c r="Q75" s="1081"/>
      <c r="R75" s="245"/>
      <c r="S75" s="245"/>
      <c r="T75" s="246">
        <f>SUM(T69:T74)</f>
        <v>2468.3000000000002</v>
      </c>
      <c r="U75" s="1638"/>
    </row>
    <row r="76" spans="15:21" x14ac:dyDescent="0.2">
      <c r="O76" s="1519"/>
      <c r="P76" s="1520"/>
      <c r="Q76" s="1521"/>
      <c r="R76" s="242"/>
      <c r="S76" s="243"/>
      <c r="T76" s="138"/>
      <c r="U76" s="128"/>
    </row>
    <row r="77" spans="15:21" ht="13.5" thickBot="1" x14ac:dyDescent="0.25">
      <c r="O77" s="1506" t="s">
        <v>25</v>
      </c>
      <c r="P77" s="258"/>
      <c r="Q77" s="259"/>
      <c r="R77" s="213"/>
      <c r="S77" s="214"/>
      <c r="T77" s="237">
        <f>(T37+T53+T59+T68+T75)</f>
        <v>29031.3633749</v>
      </c>
      <c r="U77" s="1638"/>
    </row>
    <row r="78" spans="15:21" ht="13.5" thickTop="1" x14ac:dyDescent="0.2">
      <c r="O78" s="1509"/>
      <c r="P78" s="1510"/>
      <c r="Q78" s="1511"/>
      <c r="R78" s="216"/>
      <c r="S78" s="217"/>
      <c r="T78" s="218"/>
      <c r="U78" s="709"/>
    </row>
    <row r="79" spans="15:21" ht="13.5" thickBot="1" x14ac:dyDescent="0.25">
      <c r="O79" s="149" t="s">
        <v>245</v>
      </c>
      <c r="P79" s="260"/>
      <c r="Q79" s="260"/>
      <c r="R79" s="260"/>
      <c r="S79" s="261"/>
      <c r="T79" s="199">
        <f>T25-T77</f>
        <v>30468.6366251</v>
      </c>
      <c r="U79" s="1073"/>
    </row>
  </sheetData>
  <mergeCells count="133">
    <mergeCell ref="E14:G14"/>
    <mergeCell ref="Y14:AA14"/>
    <mergeCell ref="V2:W2"/>
    <mergeCell ref="Y2:AB2"/>
    <mergeCell ref="AD2:AE2"/>
    <mergeCell ref="AG2:AL2"/>
    <mergeCell ref="AN2:AQ2"/>
    <mergeCell ref="AS2:AV2"/>
    <mergeCell ref="AX2:BF2"/>
    <mergeCell ref="BD4:BF4"/>
    <mergeCell ref="E2:H2"/>
    <mergeCell ref="J2:M2"/>
    <mergeCell ref="O2:T2"/>
    <mergeCell ref="BS2:BU2"/>
    <mergeCell ref="B3:C3"/>
    <mergeCell ref="E3:H3"/>
    <mergeCell ref="J3:M3"/>
    <mergeCell ref="O3:T3"/>
    <mergeCell ref="V3:W3"/>
    <mergeCell ref="Y3:AB3"/>
    <mergeCell ref="AD3:AE3"/>
    <mergeCell ref="AG3:AL3"/>
    <mergeCell ref="AN3:AQ3"/>
    <mergeCell ref="AS3:AV3"/>
    <mergeCell ref="BS3:BU3"/>
    <mergeCell ref="B2:C2"/>
    <mergeCell ref="BS4:BU4"/>
    <mergeCell ref="BD5:BF5"/>
    <mergeCell ref="BS5:BU5"/>
    <mergeCell ref="AG6:AH6"/>
    <mergeCell ref="BD6:BF6"/>
    <mergeCell ref="BD7:BF7"/>
    <mergeCell ref="BS7:BU7"/>
    <mergeCell ref="E8:G8"/>
    <mergeCell ref="Y8:AA8"/>
    <mergeCell ref="BS8:BU8"/>
    <mergeCell ref="BS9:BU9"/>
    <mergeCell ref="BD10:BF10"/>
    <mergeCell ref="BD11:BF11"/>
    <mergeCell ref="E12:G12"/>
    <mergeCell ref="Y12:AA12"/>
    <mergeCell ref="BD12:BF12"/>
    <mergeCell ref="BS12:BU12"/>
    <mergeCell ref="BD13:BF13"/>
    <mergeCell ref="BS13:BU13"/>
    <mergeCell ref="BD9:BF9"/>
    <mergeCell ref="BS14:BU14"/>
    <mergeCell ref="BD16:BF16"/>
    <mergeCell ref="BS15:BU15"/>
    <mergeCell ref="AG16:AI16"/>
    <mergeCell ref="BD17:BF17"/>
    <mergeCell ref="BS16:BU16"/>
    <mergeCell ref="AG17:AI17"/>
    <mergeCell ref="BD18:BF18"/>
    <mergeCell ref="BS17:BU17"/>
    <mergeCell ref="BD15:BF15"/>
    <mergeCell ref="AG18:AI18"/>
    <mergeCell ref="BS18:BU18"/>
    <mergeCell ref="AG19:AI19"/>
    <mergeCell ref="BD20:BF20"/>
    <mergeCell ref="BS19:BU19"/>
    <mergeCell ref="AG20:AI20"/>
    <mergeCell ref="BD21:BF21"/>
    <mergeCell ref="BS20:BU20"/>
    <mergeCell ref="BD22:BF22"/>
    <mergeCell ref="BS21:BU21"/>
    <mergeCell ref="BD19:BF19"/>
    <mergeCell ref="BS22:BU22"/>
    <mergeCell ref="BD24:BF24"/>
    <mergeCell ref="BS23:BU23"/>
    <mergeCell ref="AG24:AK24"/>
    <mergeCell ref="BS24:BU24"/>
    <mergeCell ref="AG25:AI25"/>
    <mergeCell ref="BS25:BU25"/>
    <mergeCell ref="AG26:AI26"/>
    <mergeCell ref="BS26:BU26"/>
    <mergeCell ref="BD23:BF23"/>
    <mergeCell ref="BS27:BU27"/>
    <mergeCell ref="AG28:AI28"/>
    <mergeCell ref="BS28:BU28"/>
    <mergeCell ref="AG29:AI29"/>
    <mergeCell ref="BS29:BU29"/>
    <mergeCell ref="E30:G30"/>
    <mergeCell ref="Y30:AA30"/>
    <mergeCell ref="AG30:AI30"/>
    <mergeCell ref="BD31:BF31"/>
    <mergeCell ref="BS30:BU30"/>
    <mergeCell ref="AG31:AI31"/>
    <mergeCell ref="AG27:AI27"/>
    <mergeCell ref="BS31:BU31"/>
    <mergeCell ref="E32:G32"/>
    <mergeCell ref="Y32:AA32"/>
    <mergeCell ref="AG32:AI32"/>
    <mergeCell ref="BD33:BF33"/>
    <mergeCell ref="BS32:BU32"/>
    <mergeCell ref="AG33:AI33"/>
    <mergeCell ref="AS33:AU33"/>
    <mergeCell ref="BD34:BF34"/>
    <mergeCell ref="AG34:AI34"/>
    <mergeCell ref="BD32:BF32"/>
    <mergeCell ref="BS35:BU35"/>
    <mergeCell ref="BS36:BU36"/>
    <mergeCell ref="AG37:AI37"/>
    <mergeCell ref="BD38:BF38"/>
    <mergeCell ref="BS37:BU37"/>
    <mergeCell ref="AG38:AI38"/>
    <mergeCell ref="BD39:BF39"/>
    <mergeCell ref="BS38:BU38"/>
    <mergeCell ref="AG39:AK39"/>
    <mergeCell ref="BS39:BU39"/>
    <mergeCell ref="BD35:BF35"/>
    <mergeCell ref="AG35:AI35"/>
    <mergeCell ref="BD36:BF36"/>
    <mergeCell ref="O58:P58"/>
    <mergeCell ref="BS40:BU40"/>
    <mergeCell ref="AG41:AI41"/>
    <mergeCell ref="AN42:AP42"/>
    <mergeCell ref="BD43:BF43"/>
    <mergeCell ref="BD44:BF44"/>
    <mergeCell ref="AG44:AI44"/>
    <mergeCell ref="BD45:BF45"/>
    <mergeCell ref="AG45:AI45"/>
    <mergeCell ref="BD46:BF46"/>
    <mergeCell ref="AG46:AI46"/>
    <mergeCell ref="BD47:BF47"/>
    <mergeCell ref="BD48:BF48"/>
    <mergeCell ref="BD49:BF49"/>
    <mergeCell ref="BD51:BF51"/>
    <mergeCell ref="BD52:BF52"/>
    <mergeCell ref="BD53:BF53"/>
    <mergeCell ref="AG40:AI40"/>
    <mergeCell ref="BD41:BF41"/>
    <mergeCell ref="BD40:BF40"/>
  </mergeCells>
  <pageMargins left="0.7" right="0.7" top="0.75" bottom="0.75" header="0.3" footer="0.3"/>
  <pageSetup scale="96" orientation="portrait" r:id="rId1"/>
  <headerFooter>
    <oddHeader>&amp;C&amp;A Budget Worksheet</oddHeader>
    <oddFooter>&amp;C&amp;D</oddFooter>
  </headerFooter>
  <rowBreaks count="1" manualBreakCount="1">
    <brk id="36" max="16383" man="1"/>
  </rowBreaks>
  <colBreaks count="1" manualBreakCount="1">
    <brk id="28" max="1048575" man="1"/>
  </colBreaks>
  <ignoredErrors>
    <ignoredError sqref="AL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73"/>
  <sheetViews>
    <sheetView zoomScale="125" zoomScaleNormal="125" zoomScaleSheetLayoutView="114" workbookViewId="0">
      <selection activeCell="A54" sqref="A54"/>
    </sheetView>
  </sheetViews>
  <sheetFormatPr defaultColWidth="8.7109375" defaultRowHeight="12.75" x14ac:dyDescent="0.2"/>
  <cols>
    <col min="1" max="1" width="41.7109375" style="109" customWidth="1"/>
    <col min="2" max="2" width="13.7109375" style="109" customWidth="1"/>
    <col min="3" max="3" width="9.28515625" style="109" bestFit="1" customWidth="1"/>
    <col min="4" max="4" width="11.42578125" style="109" bestFit="1" customWidth="1"/>
    <col min="5" max="5" width="9.42578125" style="109" bestFit="1" customWidth="1"/>
    <col min="6" max="6" width="12" style="109" bestFit="1" customWidth="1"/>
    <col min="7" max="7" width="9.28515625" style="109" bestFit="1" customWidth="1"/>
    <col min="8" max="8" width="11.42578125" style="109" bestFit="1" customWidth="1"/>
    <col min="9" max="9" width="9.28515625" style="109" bestFit="1" customWidth="1"/>
    <col min="10" max="10" width="11.42578125" style="109" bestFit="1" customWidth="1"/>
    <col min="11" max="11" width="9.42578125" style="109" bestFit="1" customWidth="1"/>
    <col min="12" max="12" width="11.42578125" style="109" bestFit="1" customWidth="1"/>
    <col min="13" max="13" width="13.7109375" style="109" customWidth="1"/>
    <col min="14" max="14" width="14" style="109" customWidth="1"/>
    <col min="15" max="15" width="4.140625" style="109" customWidth="1"/>
    <col min="16" max="16" width="12" style="109" bestFit="1" customWidth="1"/>
    <col min="17" max="16384" width="8.7109375" style="109"/>
  </cols>
  <sheetData>
    <row r="1" spans="1:22" ht="20.25" customHeight="1" x14ac:dyDescent="0.25">
      <c r="A1" s="2041" t="s">
        <v>668</v>
      </c>
      <c r="B1" s="2041"/>
      <c r="C1" s="2041"/>
      <c r="D1" s="2041"/>
      <c r="E1" s="2041"/>
      <c r="F1" s="2041"/>
      <c r="G1" s="2041"/>
      <c r="H1" s="2041"/>
      <c r="I1" s="2041"/>
      <c r="J1" s="2041"/>
      <c r="K1" s="2041"/>
      <c r="L1" s="2041"/>
      <c r="M1" s="2041"/>
      <c r="N1" s="2041"/>
      <c r="O1" s="299"/>
      <c r="P1" s="299"/>
    </row>
    <row r="2" spans="1:22" ht="15" x14ac:dyDescent="0.25">
      <c r="O2" s="622"/>
      <c r="P2" s="1194"/>
    </row>
    <row r="3" spans="1:22" s="627" customFormat="1" ht="15" x14ac:dyDescent="0.25">
      <c r="A3" s="623" t="s">
        <v>446</v>
      </c>
      <c r="B3" s="332" t="s">
        <v>330</v>
      </c>
      <c r="C3" s="332" t="s">
        <v>331</v>
      </c>
      <c r="D3" s="332" t="s">
        <v>332</v>
      </c>
      <c r="E3" s="332" t="s">
        <v>333</v>
      </c>
      <c r="F3" s="332" t="s">
        <v>334</v>
      </c>
      <c r="G3" s="332" t="s">
        <v>335</v>
      </c>
      <c r="H3" s="332" t="s">
        <v>336</v>
      </c>
      <c r="I3" s="332" t="s">
        <v>337</v>
      </c>
      <c r="J3" s="332" t="s">
        <v>338</v>
      </c>
      <c r="K3" s="332" t="s">
        <v>339</v>
      </c>
      <c r="L3" s="332" t="s">
        <v>340</v>
      </c>
      <c r="M3" s="332" t="s">
        <v>341</v>
      </c>
      <c r="N3" s="624" t="s">
        <v>6</v>
      </c>
      <c r="O3" s="625"/>
      <c r="P3" s="110" t="s">
        <v>447</v>
      </c>
      <c r="Q3" s="626"/>
      <c r="R3" s="626"/>
      <c r="S3" s="626"/>
      <c r="T3" s="626"/>
      <c r="U3" s="626"/>
      <c r="V3" s="626"/>
    </row>
    <row r="4" spans="1:22" ht="15" x14ac:dyDescent="0.25">
      <c r="A4" s="110" t="s">
        <v>447</v>
      </c>
      <c r="B4" s="1422">
        <v>1566</v>
      </c>
      <c r="C4" s="1422">
        <v>1566</v>
      </c>
      <c r="D4" s="1422">
        <v>1815</v>
      </c>
      <c r="E4" s="1422">
        <v>1815</v>
      </c>
      <c r="F4" s="1422">
        <v>2000</v>
      </c>
      <c r="G4" s="1422">
        <v>2000</v>
      </c>
      <c r="H4" s="1422">
        <v>2000</v>
      </c>
      <c r="I4" s="1422">
        <v>2000</v>
      </c>
      <c r="J4" s="1422">
        <v>2000</v>
      </c>
      <c r="K4" s="1422">
        <v>2000</v>
      </c>
      <c r="L4" s="1422">
        <v>2000</v>
      </c>
      <c r="M4" s="1422">
        <v>2000</v>
      </c>
      <c r="N4" s="1446">
        <f>SUM(B4:M4)</f>
        <v>22762</v>
      </c>
      <c r="O4" s="1417"/>
      <c r="P4" s="960" t="s">
        <v>448</v>
      </c>
      <c r="Q4" s="1415">
        <v>299</v>
      </c>
      <c r="R4" s="1415">
        <v>4</v>
      </c>
      <c r="S4" s="1415">
        <v>1196</v>
      </c>
      <c r="T4" s="1415"/>
      <c r="U4" s="1415"/>
      <c r="V4" s="1415"/>
    </row>
    <row r="5" spans="1:22" ht="15.75" thickBot="1" x14ac:dyDescent="0.3">
      <c r="A5" s="1445" t="s">
        <v>0</v>
      </c>
      <c r="B5" s="1429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>
        <v>0</v>
      </c>
      <c r="N5" s="1444">
        <f>SUM(B5:M5)</f>
        <v>0</v>
      </c>
      <c r="O5" s="622"/>
      <c r="P5" s="1415" t="s">
        <v>449</v>
      </c>
      <c r="Q5" s="1415">
        <v>199</v>
      </c>
      <c r="R5" s="1415">
        <v>1</v>
      </c>
      <c r="S5" s="1415">
        <v>199</v>
      </c>
      <c r="T5" s="1415"/>
      <c r="U5" s="1415"/>
      <c r="V5" s="1415"/>
    </row>
    <row r="6" spans="1:22" ht="15.75" thickBot="1" x14ac:dyDescent="0.3">
      <c r="A6" s="630" t="s">
        <v>450</v>
      </c>
      <c r="B6" s="628">
        <f t="shared" ref="B6:N6" si="0">SUM(B4:B5)</f>
        <v>1566</v>
      </c>
      <c r="C6" s="628">
        <f t="shared" si="0"/>
        <v>1566</v>
      </c>
      <c r="D6" s="628">
        <f t="shared" si="0"/>
        <v>1815</v>
      </c>
      <c r="E6" s="628">
        <f t="shared" si="0"/>
        <v>1815</v>
      </c>
      <c r="F6" s="628">
        <f t="shared" si="0"/>
        <v>2000</v>
      </c>
      <c r="G6" s="628">
        <f t="shared" si="0"/>
        <v>2000</v>
      </c>
      <c r="H6" s="628">
        <f t="shared" si="0"/>
        <v>2000</v>
      </c>
      <c r="I6" s="628">
        <f t="shared" si="0"/>
        <v>2000</v>
      </c>
      <c r="J6" s="628">
        <f t="shared" si="0"/>
        <v>2000</v>
      </c>
      <c r="K6" s="628">
        <f t="shared" si="0"/>
        <v>2000</v>
      </c>
      <c r="L6" s="628">
        <f t="shared" si="0"/>
        <v>2000</v>
      </c>
      <c r="M6" s="628">
        <f t="shared" si="0"/>
        <v>2000</v>
      </c>
      <c r="N6" s="629">
        <f t="shared" si="0"/>
        <v>22762</v>
      </c>
      <c r="O6" s="1417"/>
      <c r="P6" s="1415" t="s">
        <v>451</v>
      </c>
      <c r="Q6" s="1415">
        <v>99</v>
      </c>
      <c r="R6" s="1415">
        <v>1</v>
      </c>
      <c r="S6" s="1415">
        <v>99</v>
      </c>
      <c r="T6" s="1415"/>
      <c r="U6" s="1415"/>
      <c r="V6" s="1415"/>
    </row>
    <row r="7" spans="1:22" ht="15" x14ac:dyDescent="0.25">
      <c r="A7" s="1437"/>
      <c r="B7" s="1443"/>
      <c r="C7" s="1443"/>
      <c r="D7" s="1443"/>
      <c r="E7" s="1443"/>
      <c r="F7" s="1443"/>
      <c r="G7" s="1443"/>
      <c r="H7" s="1443"/>
      <c r="I7" s="1443"/>
      <c r="J7" s="1443"/>
      <c r="K7" s="1443"/>
      <c r="L7" s="1443"/>
      <c r="M7" s="1443"/>
      <c r="N7" s="1442"/>
      <c r="O7" s="1417"/>
      <c r="P7" s="1415" t="s">
        <v>452</v>
      </c>
      <c r="Q7" s="1415">
        <v>19</v>
      </c>
      <c r="R7" s="1415">
        <v>6</v>
      </c>
      <c r="S7" s="1415">
        <v>114</v>
      </c>
      <c r="T7" s="1415"/>
      <c r="U7" s="1415"/>
      <c r="V7" s="1415"/>
    </row>
    <row r="8" spans="1:22" ht="15" x14ac:dyDescent="0.25">
      <c r="A8" s="110" t="s">
        <v>453</v>
      </c>
      <c r="B8" s="1425">
        <v>10</v>
      </c>
      <c r="C8" s="1425">
        <v>10</v>
      </c>
      <c r="D8" s="1425">
        <v>10</v>
      </c>
      <c r="E8" s="1425">
        <v>10</v>
      </c>
      <c r="F8" s="1425">
        <v>10</v>
      </c>
      <c r="G8" s="1425">
        <v>10</v>
      </c>
      <c r="H8" s="1425">
        <v>10</v>
      </c>
      <c r="I8" s="1425">
        <v>10</v>
      </c>
      <c r="J8" s="1425">
        <v>10</v>
      </c>
      <c r="K8" s="1425">
        <v>10</v>
      </c>
      <c r="L8" s="1425">
        <v>10</v>
      </c>
      <c r="M8" s="1425">
        <v>10</v>
      </c>
      <c r="N8" s="1441">
        <f>SUM(B8:M8)</f>
        <v>120</v>
      </c>
      <c r="O8" s="1417"/>
      <c r="P8" s="1415"/>
      <c r="Q8" s="1415">
        <v>29</v>
      </c>
      <c r="R8" s="1415">
        <v>3</v>
      </c>
      <c r="S8" s="1415">
        <v>87</v>
      </c>
      <c r="T8" s="1415"/>
      <c r="U8" s="1415"/>
      <c r="V8" s="1415"/>
    </row>
    <row r="9" spans="1:22" ht="15" x14ac:dyDescent="0.25">
      <c r="A9" s="647" t="s">
        <v>454</v>
      </c>
      <c r="B9" s="1435">
        <v>500</v>
      </c>
      <c r="C9" s="1435">
        <v>0</v>
      </c>
      <c r="D9" s="1435">
        <v>0</v>
      </c>
      <c r="E9" s="1435">
        <v>0</v>
      </c>
      <c r="F9" s="1435">
        <v>0</v>
      </c>
      <c r="G9" s="1435">
        <v>0</v>
      </c>
      <c r="H9" s="1435">
        <v>0</v>
      </c>
      <c r="I9" s="1435">
        <v>0</v>
      </c>
      <c r="J9" s="1435">
        <v>0</v>
      </c>
      <c r="K9" s="1435">
        <v>0</v>
      </c>
      <c r="L9" s="1435">
        <v>0</v>
      </c>
      <c r="M9" s="1427">
        <v>0</v>
      </c>
      <c r="N9" s="1440">
        <f>SUM(B9:M9)</f>
        <v>500</v>
      </c>
      <c r="O9" s="1417"/>
      <c r="P9" s="1415"/>
      <c r="Q9" s="1415"/>
      <c r="R9" s="1415"/>
      <c r="S9" s="1415">
        <f>SUM(S4:S8)</f>
        <v>1695</v>
      </c>
      <c r="T9" s="1415"/>
      <c r="U9" s="1415"/>
      <c r="V9" s="1415"/>
    </row>
    <row r="10" spans="1:22" ht="15" x14ac:dyDescent="0.25">
      <c r="A10" s="647" t="s">
        <v>0</v>
      </c>
      <c r="B10" s="1435">
        <v>0</v>
      </c>
      <c r="C10" s="1435">
        <v>0</v>
      </c>
      <c r="D10" s="1435">
        <v>0</v>
      </c>
      <c r="E10" s="1435">
        <v>0</v>
      </c>
      <c r="F10" s="1435">
        <v>0</v>
      </c>
      <c r="G10" s="1435">
        <v>0</v>
      </c>
      <c r="H10" s="1435">
        <v>0</v>
      </c>
      <c r="I10" s="1435">
        <v>0</v>
      </c>
      <c r="J10" s="1435">
        <v>0</v>
      </c>
      <c r="K10" s="1435">
        <v>0</v>
      </c>
      <c r="L10" s="1435">
        <v>0</v>
      </c>
      <c r="M10" s="1427">
        <v>0</v>
      </c>
      <c r="N10" s="1440">
        <f>SUM(B10:M10)</f>
        <v>0</v>
      </c>
      <c r="O10" s="1417"/>
      <c r="P10" s="1415"/>
      <c r="Q10" s="1415"/>
      <c r="R10" s="1415"/>
      <c r="S10" s="1415"/>
      <c r="T10" s="1415"/>
      <c r="U10" s="1415"/>
      <c r="V10" s="1415"/>
    </row>
    <row r="11" spans="1:22" ht="15" x14ac:dyDescent="0.25">
      <c r="A11" s="121" t="s">
        <v>0</v>
      </c>
      <c r="B11" s="1425" t="s">
        <v>0</v>
      </c>
      <c r="C11" s="1425" t="s">
        <v>0</v>
      </c>
      <c r="D11" s="1425" t="s">
        <v>0</v>
      </c>
      <c r="E11" s="1425" t="s">
        <v>0</v>
      </c>
      <c r="F11" s="1425" t="s">
        <v>0</v>
      </c>
      <c r="G11" s="1425" t="s">
        <v>0</v>
      </c>
      <c r="H11" s="1425" t="s">
        <v>0</v>
      </c>
      <c r="I11" s="1425" t="s">
        <v>0</v>
      </c>
      <c r="J11" s="1425" t="s">
        <v>0</v>
      </c>
      <c r="K11" s="1425" t="s">
        <v>0</v>
      </c>
      <c r="L11" s="1425" t="s">
        <v>0</v>
      </c>
      <c r="M11" s="1422" t="s">
        <v>0</v>
      </c>
      <c r="N11" s="1440">
        <f>SUM(B11:M11)</f>
        <v>0</v>
      </c>
      <c r="O11" s="1417"/>
      <c r="P11" s="1415"/>
      <c r="Q11" s="1415"/>
      <c r="R11" s="1415"/>
      <c r="S11" s="1415"/>
      <c r="T11" s="1415"/>
      <c r="U11" s="1415"/>
      <c r="V11" s="1415"/>
    </row>
    <row r="12" spans="1:22" ht="15.75" thickBot="1" x14ac:dyDescent="0.3">
      <c r="A12" s="122" t="s">
        <v>0</v>
      </c>
      <c r="B12" s="1439" t="s">
        <v>0</v>
      </c>
      <c r="C12" s="1439" t="s">
        <v>0</v>
      </c>
      <c r="D12" s="1439" t="s">
        <v>0</v>
      </c>
      <c r="E12" s="1439" t="s">
        <v>0</v>
      </c>
      <c r="F12" s="1439" t="s">
        <v>0</v>
      </c>
      <c r="G12" s="1439" t="s">
        <v>0</v>
      </c>
      <c r="H12" s="1439" t="s">
        <v>0</v>
      </c>
      <c r="I12" s="1439" t="s">
        <v>0</v>
      </c>
      <c r="J12" s="1439" t="s">
        <v>0</v>
      </c>
      <c r="K12" s="1439" t="s">
        <v>0</v>
      </c>
      <c r="L12" s="1439" t="s">
        <v>0</v>
      </c>
      <c r="M12" s="1429" t="s">
        <v>0</v>
      </c>
      <c r="N12" s="1438">
        <f>SUM(B12:M12)</f>
        <v>0</v>
      </c>
      <c r="O12" s="622"/>
      <c r="P12" s="1415"/>
      <c r="Q12" s="1415"/>
      <c r="R12" s="1415"/>
      <c r="S12" s="1415"/>
      <c r="T12" s="1415"/>
      <c r="U12" s="1415"/>
      <c r="V12" s="1415"/>
    </row>
    <row r="13" spans="1:22" ht="15.75" thickBot="1" x14ac:dyDescent="0.3">
      <c r="A13" s="630" t="s">
        <v>6</v>
      </c>
      <c r="B13" s="628">
        <f t="shared" ref="B13:N13" si="1">B6-B8-B9</f>
        <v>1056</v>
      </c>
      <c r="C13" s="628">
        <f t="shared" si="1"/>
        <v>1556</v>
      </c>
      <c r="D13" s="628">
        <f t="shared" si="1"/>
        <v>1805</v>
      </c>
      <c r="E13" s="628">
        <f t="shared" si="1"/>
        <v>1805</v>
      </c>
      <c r="F13" s="628">
        <f t="shared" si="1"/>
        <v>1990</v>
      </c>
      <c r="G13" s="628">
        <f t="shared" si="1"/>
        <v>1990</v>
      </c>
      <c r="H13" s="628">
        <f t="shared" si="1"/>
        <v>1990</v>
      </c>
      <c r="I13" s="628">
        <f t="shared" si="1"/>
        <v>1990</v>
      </c>
      <c r="J13" s="628">
        <f t="shared" si="1"/>
        <v>1990</v>
      </c>
      <c r="K13" s="628">
        <f t="shared" si="1"/>
        <v>1990</v>
      </c>
      <c r="L13" s="628">
        <f t="shared" si="1"/>
        <v>1990</v>
      </c>
      <c r="M13" s="628">
        <f t="shared" si="1"/>
        <v>1990</v>
      </c>
      <c r="N13" s="628">
        <f t="shared" si="1"/>
        <v>22142</v>
      </c>
      <c r="O13" s="346"/>
      <c r="P13" s="626"/>
      <c r="Q13" s="1415"/>
      <c r="R13" s="1415"/>
      <c r="S13" s="1415"/>
      <c r="T13" s="1415"/>
      <c r="U13" s="1415"/>
      <c r="V13" s="1415"/>
    </row>
    <row r="14" spans="1:22" ht="15.75" thickBot="1" x14ac:dyDescent="0.3">
      <c r="A14" s="1437"/>
      <c r="O14" s="1414"/>
    </row>
    <row r="15" spans="1:22" ht="15.75" thickBot="1" x14ac:dyDescent="0.3">
      <c r="A15" s="2042"/>
      <c r="B15" s="2043"/>
      <c r="C15" s="2043"/>
      <c r="D15" s="2043"/>
      <c r="E15" s="2043"/>
      <c r="F15" s="2043"/>
      <c r="G15" s="2043"/>
      <c r="H15" s="2043"/>
      <c r="I15" s="2043"/>
      <c r="J15" s="2043"/>
      <c r="K15" s="2043"/>
      <c r="L15" s="2043"/>
      <c r="M15" s="2043"/>
      <c r="N15" s="2043"/>
      <c r="O15" s="1414"/>
      <c r="P15" s="1415"/>
      <c r="Q15" s="1415"/>
      <c r="R15" s="1415"/>
      <c r="S15" s="1415"/>
      <c r="T15" s="1415"/>
      <c r="U15" s="1415"/>
      <c r="V15" s="1415"/>
    </row>
    <row r="16" spans="1:22" ht="15" x14ac:dyDescent="0.25">
      <c r="A16" s="1150"/>
      <c r="B16" s="1417"/>
      <c r="C16" s="1417"/>
      <c r="D16" s="1417"/>
      <c r="E16" s="1417"/>
      <c r="F16" s="1417"/>
      <c r="G16" s="1417"/>
      <c r="H16" s="1417"/>
      <c r="I16" s="1417"/>
      <c r="J16" s="1417"/>
      <c r="K16" s="1417"/>
      <c r="L16" s="1417"/>
      <c r="M16" s="1417"/>
      <c r="N16" s="1417"/>
      <c r="O16" s="631"/>
      <c r="P16" s="1415"/>
      <c r="Q16" s="1415"/>
      <c r="R16" s="1415"/>
      <c r="S16" s="1415"/>
      <c r="T16" s="1415"/>
      <c r="U16" s="1415"/>
      <c r="V16" s="1415"/>
    </row>
    <row r="17" spans="1:22" s="627" customFormat="1" ht="15" x14ac:dyDescent="0.25">
      <c r="A17" s="1436" t="s">
        <v>455</v>
      </c>
      <c r="B17" s="341">
        <v>1000</v>
      </c>
      <c r="C17" s="341">
        <v>1000</v>
      </c>
      <c r="D17" s="341">
        <v>1000</v>
      </c>
      <c r="E17" s="341">
        <v>1000</v>
      </c>
      <c r="F17" s="341">
        <v>1000</v>
      </c>
      <c r="G17" s="341">
        <v>1000</v>
      </c>
      <c r="H17" s="341">
        <v>1000</v>
      </c>
      <c r="I17" s="341">
        <v>1000</v>
      </c>
      <c r="J17" s="341">
        <v>1000</v>
      </c>
      <c r="K17" s="341">
        <v>1000</v>
      </c>
      <c r="L17" s="341">
        <v>1000</v>
      </c>
      <c r="M17" s="341">
        <v>1000</v>
      </c>
      <c r="N17" s="632">
        <f>SUM(B17:M17)</f>
        <v>12000</v>
      </c>
      <c r="O17" s="113"/>
      <c r="P17" s="626"/>
      <c r="Q17" s="626"/>
      <c r="R17" s="626"/>
      <c r="S17" s="626"/>
      <c r="T17" s="626"/>
      <c r="U17" s="626"/>
      <c r="V17" s="626"/>
    </row>
    <row r="18" spans="1:22" s="634" customFormat="1" ht="15" x14ac:dyDescent="0.25">
      <c r="A18" s="2044"/>
      <c r="B18" s="2045"/>
      <c r="C18" s="2045"/>
      <c r="D18" s="2045"/>
      <c r="E18" s="2045"/>
      <c r="F18" s="2045"/>
      <c r="G18" s="2045"/>
      <c r="H18" s="2045"/>
      <c r="I18" s="2045"/>
      <c r="J18" s="2045"/>
      <c r="K18" s="2045"/>
      <c r="L18" s="2045"/>
      <c r="M18" s="2045"/>
      <c r="N18" s="2046"/>
      <c r="O18" s="113"/>
      <c r="P18" s="633"/>
      <c r="Q18" s="633"/>
      <c r="R18" s="633"/>
      <c r="S18" s="633"/>
      <c r="T18" s="633"/>
      <c r="U18" s="633"/>
      <c r="V18" s="633"/>
    </row>
    <row r="19" spans="1:22" s="634" customFormat="1" ht="15" x14ac:dyDescent="0.25">
      <c r="A19" s="2047"/>
      <c r="B19" s="2048"/>
      <c r="C19" s="2048"/>
      <c r="D19" s="2048"/>
      <c r="E19" s="2048"/>
      <c r="F19" s="2048"/>
      <c r="G19" s="2048"/>
      <c r="H19" s="2048"/>
      <c r="I19" s="2048"/>
      <c r="J19" s="2048"/>
      <c r="K19" s="2048"/>
      <c r="L19" s="2048"/>
      <c r="M19" s="2048"/>
      <c r="N19" s="2049"/>
      <c r="O19" s="1414"/>
      <c r="P19" s="633"/>
      <c r="Q19" s="633"/>
      <c r="R19" s="633"/>
      <c r="S19" s="633"/>
      <c r="T19" s="633"/>
      <c r="U19" s="633"/>
      <c r="V19" s="633"/>
    </row>
    <row r="20" spans="1:22" ht="15.75" thickBot="1" x14ac:dyDescent="0.3">
      <c r="A20" s="2050" t="s">
        <v>13</v>
      </c>
      <c r="B20" s="2051"/>
      <c r="C20" s="2051"/>
      <c r="D20" s="2051"/>
      <c r="E20" s="2051"/>
      <c r="F20" s="2052"/>
      <c r="G20" s="1428"/>
      <c r="H20" s="2050" t="s">
        <v>456</v>
      </c>
      <c r="I20" s="2051"/>
      <c r="J20" s="2051"/>
      <c r="K20" s="2051"/>
      <c r="L20" s="2051"/>
      <c r="M20" s="2052"/>
      <c r="N20" s="1414"/>
      <c r="O20" s="1414"/>
      <c r="P20" s="1415"/>
      <c r="Q20" s="1415"/>
      <c r="R20" s="1415"/>
      <c r="S20" s="1415"/>
      <c r="T20" s="1415"/>
      <c r="U20" s="1415"/>
      <c r="V20" s="1415"/>
    </row>
    <row r="21" spans="1:22" ht="15" x14ac:dyDescent="0.25">
      <c r="A21" s="2017" t="s">
        <v>457</v>
      </c>
      <c r="B21" s="2018"/>
      <c r="C21" s="2018"/>
      <c r="D21" s="1435">
        <v>4</v>
      </c>
      <c r="E21" s="1435">
        <v>299</v>
      </c>
      <c r="F21" s="1434">
        <f>+D21*E21</f>
        <v>1196</v>
      </c>
      <c r="G21" s="1428"/>
      <c r="H21" s="2017"/>
      <c r="I21" s="2018"/>
      <c r="J21" s="2018"/>
      <c r="K21" s="1435">
        <v>0</v>
      </c>
      <c r="L21" s="1435"/>
      <c r="M21" s="1434">
        <f>+K21*L21</f>
        <v>0</v>
      </c>
      <c r="N21" s="1430"/>
      <c r="O21" s="1414"/>
      <c r="P21" s="1415"/>
      <c r="Q21" s="1415"/>
      <c r="R21" s="1415"/>
      <c r="S21" s="1415"/>
      <c r="T21" s="1415"/>
      <c r="U21" s="1415"/>
      <c r="V21" s="1415"/>
    </row>
    <row r="22" spans="1:22" ht="15" x14ac:dyDescent="0.25">
      <c r="A22" s="2036" t="s">
        <v>0</v>
      </c>
      <c r="B22" s="2021"/>
      <c r="C22" s="2021"/>
      <c r="D22" s="1425" t="s">
        <v>0</v>
      </c>
      <c r="E22" s="1425" t="s">
        <v>0</v>
      </c>
      <c r="F22" s="1434" t="s">
        <v>0</v>
      </c>
      <c r="G22" s="1428"/>
      <c r="H22" s="2036"/>
      <c r="I22" s="2021"/>
      <c r="J22" s="2021"/>
      <c r="K22" s="1425">
        <v>0</v>
      </c>
      <c r="L22" s="1425"/>
      <c r="M22" s="1434">
        <f>+K22*L22</f>
        <v>0</v>
      </c>
      <c r="N22" s="1430"/>
      <c r="O22" s="635"/>
      <c r="P22" s="1415"/>
      <c r="Q22" s="1415"/>
      <c r="R22" s="1415"/>
      <c r="S22" s="1415"/>
      <c r="T22" s="1415"/>
      <c r="U22" s="1415"/>
      <c r="V22" s="1415"/>
    </row>
    <row r="23" spans="1:22" ht="17.100000000000001" customHeight="1" x14ac:dyDescent="0.25">
      <c r="A23" s="2017" t="s">
        <v>458</v>
      </c>
      <c r="B23" s="2018"/>
      <c r="C23" s="2018"/>
      <c r="D23" s="1435">
        <v>1</v>
      </c>
      <c r="E23" s="1435">
        <v>699</v>
      </c>
      <c r="F23" s="1434">
        <f t="shared" ref="F23:F30" si="2">+D23*E23</f>
        <v>699</v>
      </c>
      <c r="G23" s="1414"/>
      <c r="H23" s="2036" t="s">
        <v>459</v>
      </c>
      <c r="I23" s="2021"/>
      <c r="J23" s="2021"/>
      <c r="K23" s="636">
        <v>22.75</v>
      </c>
      <c r="L23" s="137">
        <v>300</v>
      </c>
      <c r="M23" s="1433">
        <f>K23*L23*4-100</f>
        <v>27200</v>
      </c>
      <c r="N23" s="637"/>
      <c r="O23" s="638"/>
      <c r="P23" s="639"/>
      <c r="Q23" s="639"/>
      <c r="R23" s="639"/>
      <c r="S23" s="1415"/>
      <c r="T23" s="1415"/>
      <c r="U23" s="1415"/>
      <c r="V23" s="1415"/>
    </row>
    <row r="24" spans="1:22" ht="21" customHeight="1" x14ac:dyDescent="0.25">
      <c r="A24" s="2036" t="s">
        <v>460</v>
      </c>
      <c r="B24" s="2021"/>
      <c r="C24" s="2021"/>
      <c r="D24" s="1422">
        <v>5</v>
      </c>
      <c r="E24" s="1422">
        <v>599</v>
      </c>
      <c r="F24" s="640">
        <f t="shared" si="2"/>
        <v>2995</v>
      </c>
      <c r="G24" s="1414"/>
      <c r="H24" s="2037"/>
      <c r="I24" s="2038"/>
      <c r="J24" s="2038"/>
      <c r="K24" s="2038"/>
      <c r="L24" s="2038"/>
      <c r="M24" s="2039"/>
      <c r="N24" s="637"/>
      <c r="O24" s="638" t="s">
        <v>0</v>
      </c>
      <c r="P24" s="639"/>
      <c r="Q24" s="639"/>
      <c r="R24" s="639"/>
      <c r="S24" s="1415"/>
      <c r="T24" s="1415"/>
      <c r="U24" s="1415"/>
      <c r="V24" s="1415"/>
    </row>
    <row r="25" spans="1:22" ht="15" customHeight="1" x14ac:dyDescent="0.25">
      <c r="A25" s="2005" t="s">
        <v>461</v>
      </c>
      <c r="B25" s="2006"/>
      <c r="C25" s="2006"/>
      <c r="D25" s="1422">
        <v>5</v>
      </c>
      <c r="E25" s="1422">
        <v>499</v>
      </c>
      <c r="F25" s="640">
        <f t="shared" si="2"/>
        <v>2495</v>
      </c>
      <c r="G25" s="1414"/>
      <c r="H25" s="2021"/>
      <c r="I25" s="2021"/>
      <c r="J25" s="2021"/>
      <c r="K25" s="1422"/>
      <c r="L25" s="636"/>
      <c r="M25" s="641">
        <f>+K25*L25</f>
        <v>0</v>
      </c>
      <c r="N25" s="637"/>
      <c r="O25" s="622"/>
      <c r="P25" s="1415"/>
      <c r="Q25" s="1415"/>
      <c r="R25" s="1415"/>
      <c r="S25" s="1415"/>
      <c r="T25" s="1415"/>
      <c r="U25" s="1415"/>
      <c r="V25" s="1415"/>
    </row>
    <row r="26" spans="1:22" ht="15" customHeight="1" x14ac:dyDescent="0.25">
      <c r="A26" s="1413" t="s">
        <v>462</v>
      </c>
      <c r="B26" s="1413"/>
      <c r="C26" s="1413"/>
      <c r="D26" s="1432">
        <v>11</v>
      </c>
      <c r="E26" s="1422">
        <v>399</v>
      </c>
      <c r="F26" s="640">
        <f t="shared" si="2"/>
        <v>4389</v>
      </c>
      <c r="G26" s="1414"/>
      <c r="H26" s="2040" t="s">
        <v>0</v>
      </c>
      <c r="I26" s="1949"/>
      <c r="J26" s="1950"/>
      <c r="K26" s="1422"/>
      <c r="L26" s="636">
        <v>0</v>
      </c>
      <c r="M26" s="641">
        <f>L26*K26*10</f>
        <v>0</v>
      </c>
      <c r="N26" s="1430"/>
      <c r="O26" s="1417"/>
      <c r="P26" s="1415"/>
      <c r="Q26" s="1415"/>
      <c r="R26" s="1415"/>
      <c r="S26" s="1415"/>
      <c r="T26" s="1415"/>
      <c r="U26" s="1415"/>
      <c r="V26" s="1415"/>
    </row>
    <row r="27" spans="1:22" ht="15" customHeight="1" x14ac:dyDescent="0.25">
      <c r="A27" s="1413" t="s">
        <v>463</v>
      </c>
      <c r="B27" s="1413"/>
      <c r="C27" s="1413"/>
      <c r="D27" s="1432">
        <v>16</v>
      </c>
      <c r="E27" s="1422">
        <v>299</v>
      </c>
      <c r="F27" s="640">
        <f t="shared" si="2"/>
        <v>4784</v>
      </c>
      <c r="G27" s="1414"/>
      <c r="H27" s="2022"/>
      <c r="I27" s="2023"/>
      <c r="J27" s="2023"/>
      <c r="K27" s="2023"/>
      <c r="L27" s="2023"/>
      <c r="M27" s="2024"/>
      <c r="N27" s="1430"/>
      <c r="O27" s="1417"/>
      <c r="P27" s="1415"/>
      <c r="Q27" s="1415"/>
      <c r="R27" s="1415"/>
      <c r="S27" s="1415"/>
      <c r="T27" s="1415"/>
      <c r="U27" s="1415"/>
      <c r="V27" s="1415"/>
    </row>
    <row r="28" spans="1:22" ht="14.25" customHeight="1" x14ac:dyDescent="0.25">
      <c r="A28" s="1413" t="s">
        <v>464</v>
      </c>
      <c r="B28" s="1413"/>
      <c r="C28" s="1413"/>
      <c r="D28" s="1431">
        <v>20</v>
      </c>
      <c r="E28" s="1429">
        <v>199</v>
      </c>
      <c r="F28" s="642">
        <f t="shared" si="2"/>
        <v>3980</v>
      </c>
      <c r="G28" s="1414"/>
      <c r="H28" s="2025"/>
      <c r="I28" s="2026"/>
      <c r="J28" s="2026"/>
      <c r="K28" s="2026"/>
      <c r="L28" s="2026"/>
      <c r="M28" s="2027"/>
      <c r="N28" s="1430"/>
      <c r="O28" s="1414"/>
      <c r="P28" s="1415"/>
      <c r="Q28" s="1415"/>
      <c r="R28" s="1415"/>
      <c r="S28" s="1415"/>
      <c r="T28" s="1415"/>
      <c r="U28" s="1415"/>
      <c r="V28" s="1415"/>
    </row>
    <row r="29" spans="1:22" ht="15" x14ac:dyDescent="0.25">
      <c r="A29" s="2028" t="s">
        <v>465</v>
      </c>
      <c r="B29" s="2028"/>
      <c r="C29" s="2028"/>
      <c r="D29" s="1429">
        <v>10</v>
      </c>
      <c r="E29" s="1429">
        <v>99</v>
      </c>
      <c r="F29" s="642">
        <f t="shared" si="2"/>
        <v>990</v>
      </c>
      <c r="G29" s="1414"/>
      <c r="H29" s="2006"/>
      <c r="I29" s="2006"/>
      <c r="J29" s="2006"/>
      <c r="K29" s="1429"/>
      <c r="L29" s="1429"/>
      <c r="M29" s="642">
        <f>+K29*L29</f>
        <v>0</v>
      </c>
      <c r="N29" s="1414"/>
      <c r="O29" s="1414"/>
      <c r="P29" s="1415"/>
      <c r="Q29" s="1415"/>
      <c r="R29" s="1415"/>
      <c r="S29" s="1415"/>
      <c r="T29" s="1415"/>
      <c r="U29" s="1415"/>
      <c r="V29" s="1415"/>
    </row>
    <row r="30" spans="1:22" ht="15.75" thickBot="1" x14ac:dyDescent="0.3">
      <c r="A30" s="2006" t="s">
        <v>466</v>
      </c>
      <c r="B30" s="2006"/>
      <c r="C30" s="2006"/>
      <c r="D30" s="1429">
        <v>250</v>
      </c>
      <c r="E30" s="1429">
        <v>10</v>
      </c>
      <c r="F30" s="642">
        <f t="shared" si="2"/>
        <v>2500</v>
      </c>
      <c r="G30" s="1414"/>
      <c r="H30" s="2006"/>
      <c r="I30" s="2006"/>
      <c r="J30" s="2006"/>
      <c r="K30" s="1429"/>
      <c r="L30" s="1429"/>
      <c r="M30" s="642">
        <f>+K30*L30</f>
        <v>0</v>
      </c>
      <c r="N30" s="1414"/>
      <c r="O30" s="643"/>
      <c r="P30" s="1415"/>
      <c r="Q30" s="1415"/>
      <c r="R30" s="1415"/>
      <c r="S30" s="1415"/>
      <c r="T30" s="1415"/>
      <c r="U30" s="1415"/>
      <c r="V30" s="1415"/>
    </row>
    <row r="31" spans="1:22" s="627" customFormat="1" ht="15.75" thickBot="1" x14ac:dyDescent="0.3">
      <c r="A31" s="2029" t="s">
        <v>467</v>
      </c>
      <c r="B31" s="2030"/>
      <c r="C31" s="2030"/>
      <c r="D31" s="644"/>
      <c r="E31" s="644"/>
      <c r="F31" s="651">
        <f>SUM(F21:F30)-28</f>
        <v>24000</v>
      </c>
      <c r="G31" s="645"/>
      <c r="H31" s="2031" t="s">
        <v>24</v>
      </c>
      <c r="I31" s="2032"/>
      <c r="J31" s="2032"/>
      <c r="K31" s="628"/>
      <c r="L31" s="628"/>
      <c r="M31" s="646">
        <f>SUM(M21:M30)</f>
        <v>27200</v>
      </c>
      <c r="N31" s="645"/>
      <c r="O31" s="643"/>
      <c r="P31" s="960"/>
      <c r="Q31" s="626"/>
      <c r="R31" s="626"/>
      <c r="S31" s="626"/>
      <c r="T31" s="626"/>
      <c r="U31" s="626"/>
      <c r="V31" s="626"/>
    </row>
    <row r="32" spans="1:22" ht="15.75" thickBot="1" x14ac:dyDescent="0.3">
      <c r="A32" s="111"/>
      <c r="F32" s="112"/>
      <c r="G32" s="1428"/>
      <c r="H32" s="2033" t="s">
        <v>468</v>
      </c>
      <c r="I32" s="2034"/>
      <c r="J32" s="2034"/>
      <c r="K32" s="2034"/>
      <c r="L32" s="2034"/>
      <c r="M32" s="2035"/>
      <c r="N32" s="645"/>
      <c r="O32" s="1414"/>
      <c r="P32" s="960"/>
      <c r="Q32" s="1415"/>
      <c r="R32" s="1415"/>
      <c r="S32" s="1415"/>
      <c r="T32" s="1415"/>
      <c r="U32" s="1415"/>
      <c r="V32" s="1415"/>
    </row>
    <row r="33" spans="1:22" ht="15" x14ac:dyDescent="0.25">
      <c r="A33" s="2021" t="s">
        <v>0</v>
      </c>
      <c r="B33" s="2021"/>
      <c r="C33" s="2021"/>
      <c r="D33" s="110"/>
      <c r="E33" s="1422"/>
      <c r="F33" s="1422">
        <f>+D33*E33</f>
        <v>0</v>
      </c>
      <c r="G33" s="1414"/>
      <c r="H33" s="2017" t="s">
        <v>688</v>
      </c>
      <c r="I33" s="2018"/>
      <c r="J33" s="2018"/>
      <c r="K33" s="647">
        <v>12</v>
      </c>
      <c r="L33" s="1427">
        <v>60</v>
      </c>
      <c r="M33" s="1426">
        <f>K33*L33</f>
        <v>720</v>
      </c>
      <c r="N33" s="1414"/>
      <c r="O33" s="1414"/>
      <c r="P33" s="1415"/>
      <c r="Q33" s="1415"/>
      <c r="R33" s="1415"/>
      <c r="S33" s="1415"/>
      <c r="T33" s="1415"/>
      <c r="U33" s="1415"/>
      <c r="V33" s="1415"/>
    </row>
    <row r="34" spans="1:22" ht="17.25" x14ac:dyDescent="0.4">
      <c r="A34" s="2021" t="s">
        <v>0</v>
      </c>
      <c r="B34" s="2021"/>
      <c r="C34" s="2021"/>
      <c r="D34" s="110"/>
      <c r="E34" s="1422"/>
      <c r="F34" s="1422">
        <f>+D34*E34</f>
        <v>0</v>
      </c>
      <c r="G34" s="1414"/>
      <c r="H34" s="2017" t="s">
        <v>454</v>
      </c>
      <c r="I34" s="2018"/>
      <c r="J34" s="2018"/>
      <c r="K34" s="647">
        <v>12</v>
      </c>
      <c r="L34" s="648">
        <v>50</v>
      </c>
      <c r="M34" s="1426">
        <f>+K34*L34</f>
        <v>600</v>
      </c>
      <c r="N34" s="1414"/>
      <c r="O34" s="1414"/>
      <c r="P34" s="1415"/>
      <c r="Q34" s="1415"/>
      <c r="R34" s="1415"/>
      <c r="S34" s="1415"/>
      <c r="T34" s="1415"/>
      <c r="U34" s="1415"/>
      <c r="V34" s="1415"/>
    </row>
    <row r="35" spans="1:22" ht="15" x14ac:dyDescent="0.25">
      <c r="A35" s="2017" t="s">
        <v>454</v>
      </c>
      <c r="B35" s="2018"/>
      <c r="C35" s="2018"/>
      <c r="D35" s="40">
        <v>1</v>
      </c>
      <c r="E35" s="1422">
        <v>500</v>
      </c>
      <c r="F35" s="1420">
        <f>+D35*E35</f>
        <v>500</v>
      </c>
      <c r="G35" s="1414"/>
      <c r="H35" s="2017" t="s">
        <v>687</v>
      </c>
      <c r="I35" s="2018"/>
      <c r="J35" s="2018"/>
      <c r="K35" s="110">
        <v>12</v>
      </c>
      <c r="L35" s="1422">
        <v>60</v>
      </c>
      <c r="M35" s="1426">
        <f>+K35*L35</f>
        <v>720</v>
      </c>
      <c r="N35" s="1414"/>
      <c r="O35" s="1414"/>
      <c r="P35" s="1415"/>
      <c r="Q35" s="1415"/>
      <c r="R35" s="1415"/>
      <c r="S35" s="1415"/>
      <c r="T35" s="1415"/>
      <c r="U35" s="1415"/>
      <c r="V35" s="1415"/>
    </row>
    <row r="36" spans="1:22" ht="15" x14ac:dyDescent="0.25">
      <c r="A36" s="2017" t="s">
        <v>469</v>
      </c>
      <c r="B36" s="2018"/>
      <c r="C36" s="2018"/>
      <c r="D36" s="50">
        <v>1</v>
      </c>
      <c r="E36" s="1425">
        <v>1650</v>
      </c>
      <c r="F36" s="1424">
        <f>+D36*E36</f>
        <v>1650</v>
      </c>
      <c r="G36" s="1414"/>
      <c r="H36" s="2017" t="s">
        <v>686</v>
      </c>
      <c r="I36" s="2018"/>
      <c r="J36" s="2018"/>
      <c r="K36" s="110">
        <v>12</v>
      </c>
      <c r="L36" s="1422">
        <v>50</v>
      </c>
      <c r="M36" s="1421">
        <f>K36*L36</f>
        <v>600</v>
      </c>
      <c r="N36" s="1414"/>
      <c r="O36" s="1417"/>
      <c r="P36" s="1415"/>
      <c r="Q36" s="1415"/>
      <c r="R36" s="1415"/>
      <c r="S36" s="1415"/>
      <c r="T36" s="1415"/>
      <c r="U36" s="1415"/>
      <c r="V36" s="1415"/>
    </row>
    <row r="37" spans="1:22" ht="15" x14ac:dyDescent="0.25">
      <c r="A37" s="2017" t="s">
        <v>0</v>
      </c>
      <c r="B37" s="2018"/>
      <c r="C37" s="2018"/>
      <c r="D37" s="50"/>
      <c r="E37" s="1422"/>
      <c r="F37" s="1420">
        <f>+D37*E37</f>
        <v>0</v>
      </c>
      <c r="G37" s="1414"/>
      <c r="H37" s="2017" t="s">
        <v>685</v>
      </c>
      <c r="I37" s="2018"/>
      <c r="J37" s="2018"/>
      <c r="K37" s="110">
        <v>1</v>
      </c>
      <c r="L37" s="1422">
        <v>3000</v>
      </c>
      <c r="M37" s="1421">
        <f>K37*L37</f>
        <v>3000</v>
      </c>
      <c r="N37" s="1414"/>
      <c r="O37" s="1414"/>
      <c r="P37" s="1415"/>
      <c r="Q37" s="1415"/>
      <c r="R37" s="1415"/>
      <c r="S37" s="1415"/>
      <c r="T37" s="1415"/>
      <c r="U37" s="1415"/>
      <c r="V37" s="1415"/>
    </row>
    <row r="38" spans="1:22" ht="15" x14ac:dyDescent="0.25">
      <c r="A38" s="2017" t="s">
        <v>0</v>
      </c>
      <c r="B38" s="2018"/>
      <c r="C38" s="2018"/>
      <c r="D38" s="50" t="s">
        <v>0</v>
      </c>
      <c r="E38" s="1422" t="s">
        <v>0</v>
      </c>
      <c r="F38" s="1420" t="s">
        <v>0</v>
      </c>
      <c r="G38" s="1414"/>
      <c r="H38" s="2017" t="s">
        <v>684</v>
      </c>
      <c r="I38" s="2018"/>
      <c r="J38" s="2018"/>
      <c r="K38" s="110">
        <v>12</v>
      </c>
      <c r="L38" s="1422">
        <v>25</v>
      </c>
      <c r="M38" s="1423">
        <f>K38*L38</f>
        <v>300</v>
      </c>
      <c r="N38" s="1414"/>
      <c r="O38" s="1414"/>
      <c r="P38" s="1415"/>
      <c r="Q38" s="1415"/>
      <c r="R38" s="1415"/>
      <c r="S38" s="1415"/>
      <c r="T38" s="1415"/>
      <c r="U38" s="1415"/>
      <c r="V38" s="1415"/>
    </row>
    <row r="39" spans="1:22" ht="15" customHeight="1" x14ac:dyDescent="0.25">
      <c r="A39" s="2017" t="s">
        <v>0</v>
      </c>
      <c r="B39" s="2018"/>
      <c r="C39" s="2018"/>
      <c r="D39" s="50" t="s">
        <v>0</v>
      </c>
      <c r="E39" s="1422" t="s">
        <v>0</v>
      </c>
      <c r="F39" s="1420" t="s">
        <v>0</v>
      </c>
      <c r="G39" s="1414" t="s">
        <v>0</v>
      </c>
      <c r="H39" s="2017" t="s">
        <v>683</v>
      </c>
      <c r="I39" s="2018"/>
      <c r="J39" s="2018"/>
      <c r="K39" s="110">
        <v>1</v>
      </c>
      <c r="L39" s="103">
        <v>400</v>
      </c>
      <c r="M39" s="1421">
        <f>K39*L39</f>
        <v>400</v>
      </c>
      <c r="N39" s="1414"/>
      <c r="O39" s="1414"/>
      <c r="P39" s="1415"/>
      <c r="Q39" s="1415"/>
      <c r="R39" s="1415"/>
      <c r="S39" s="1415"/>
      <c r="T39" s="1415"/>
      <c r="U39" s="1415"/>
      <c r="V39" s="1415"/>
    </row>
    <row r="40" spans="1:22" ht="15" x14ac:dyDescent="0.25">
      <c r="A40" s="2017"/>
      <c r="B40" s="2018"/>
      <c r="C40" s="2018"/>
      <c r="D40" s="110"/>
      <c r="E40" s="1422"/>
      <c r="F40" s="1420"/>
      <c r="G40" s="1414"/>
      <c r="H40" s="2017" t="s">
        <v>682</v>
      </c>
      <c r="I40" s="2018"/>
      <c r="J40" s="2018"/>
      <c r="K40" s="110">
        <v>12</v>
      </c>
      <c r="L40" s="1422">
        <v>15</v>
      </c>
      <c r="M40" s="1423">
        <f>K40*L40</f>
        <v>180</v>
      </c>
      <c r="N40" s="1414"/>
      <c r="O40" s="1414"/>
      <c r="P40" s="1415"/>
      <c r="Q40" s="1415"/>
      <c r="R40" s="1415"/>
      <c r="S40" s="1415"/>
      <c r="T40" s="1415"/>
      <c r="U40" s="1415"/>
      <c r="V40" s="1415"/>
    </row>
    <row r="41" spans="1:22" ht="15" x14ac:dyDescent="0.25">
      <c r="A41" s="2017"/>
      <c r="B41" s="2018"/>
      <c r="C41" s="2018"/>
      <c r="D41" s="110"/>
      <c r="E41" s="1422"/>
      <c r="F41" s="1420">
        <f>+D41*E41</f>
        <v>0</v>
      </c>
      <c r="G41" s="1414"/>
      <c r="H41" s="2017" t="s">
        <v>470</v>
      </c>
      <c r="I41" s="2018"/>
      <c r="J41" s="2018"/>
      <c r="K41" s="110">
        <v>12</v>
      </c>
      <c r="L41" s="1422">
        <v>150</v>
      </c>
      <c r="M41" s="1421">
        <f>+K41*L41</f>
        <v>1800</v>
      </c>
      <c r="N41" s="1414"/>
      <c r="O41" s="1414"/>
      <c r="P41" s="1415"/>
      <c r="Q41" s="1415"/>
      <c r="R41" s="1415"/>
      <c r="S41" s="1415"/>
      <c r="T41" s="1415"/>
      <c r="U41" s="1415"/>
      <c r="V41" s="1415"/>
    </row>
    <row r="42" spans="1:22" ht="15" x14ac:dyDescent="0.25">
      <c r="A42" s="2017"/>
      <c r="B42" s="2018"/>
      <c r="C42" s="2018"/>
      <c r="D42" s="110"/>
      <c r="E42" s="110"/>
      <c r="F42" s="1420">
        <f>+D42*E42</f>
        <v>0</v>
      </c>
      <c r="G42" s="1414"/>
      <c r="H42" s="2019" t="s">
        <v>663</v>
      </c>
      <c r="I42" s="2020"/>
      <c r="J42" s="2020"/>
      <c r="K42" s="110" t="s">
        <v>0</v>
      </c>
      <c r="L42" s="110" t="s">
        <v>0</v>
      </c>
      <c r="M42" s="1420" t="s">
        <v>0</v>
      </c>
      <c r="N42" s="1414"/>
      <c r="O42" s="1414"/>
      <c r="P42" s="1415"/>
      <c r="Q42" s="1415"/>
      <c r="R42" s="1415"/>
      <c r="S42" s="1415"/>
      <c r="T42" s="1415"/>
      <c r="U42" s="1415"/>
      <c r="V42" s="1415"/>
    </row>
    <row r="43" spans="1:22" ht="15.75" thickBot="1" x14ac:dyDescent="0.3">
      <c r="A43" s="2005"/>
      <c r="B43" s="2006"/>
      <c r="C43" s="2006"/>
      <c r="D43" s="123"/>
      <c r="E43" s="123"/>
      <c r="F43" s="1419">
        <f>+D43*E43</f>
        <v>0</v>
      </c>
      <c r="G43" s="1414"/>
      <c r="H43" s="2007" t="s">
        <v>681</v>
      </c>
      <c r="I43" s="2008"/>
      <c r="J43" s="2008"/>
      <c r="K43" s="649">
        <v>1</v>
      </c>
      <c r="L43" s="649">
        <v>150</v>
      </c>
      <c r="M43" s="1418">
        <v>150</v>
      </c>
      <c r="N43" s="1414"/>
      <c r="O43" s="445"/>
      <c r="P43" s="1415"/>
      <c r="Q43" s="1415"/>
      <c r="R43" s="1415"/>
      <c r="S43" s="1415"/>
      <c r="T43" s="1415"/>
      <c r="U43" s="1415"/>
      <c r="V43" s="1415"/>
    </row>
    <row r="44" spans="1:22" s="627" customFormat="1" ht="16.5" thickTop="1" thickBot="1" x14ac:dyDescent="0.3">
      <c r="A44" s="2009" t="s">
        <v>471</v>
      </c>
      <c r="B44" s="2010"/>
      <c r="C44" s="2010"/>
      <c r="D44" s="650"/>
      <c r="E44" s="650"/>
      <c r="F44" s="651">
        <f>SUM(F33:F43)</f>
        <v>2150</v>
      </c>
      <c r="G44" s="645"/>
      <c r="H44" s="2011" t="s">
        <v>472</v>
      </c>
      <c r="I44" s="2012"/>
      <c r="J44" s="2012"/>
      <c r="K44" s="652"/>
      <c r="L44" s="652"/>
      <c r="M44" s="653">
        <f>SUM(M32:M43)</f>
        <v>8470</v>
      </c>
      <c r="N44" s="622"/>
      <c r="O44" s="643"/>
      <c r="P44" s="960"/>
      <c r="Q44" s="626"/>
      <c r="R44" s="626"/>
      <c r="S44" s="626"/>
      <c r="T44" s="626"/>
      <c r="U44" s="626"/>
      <c r="V44" s="626"/>
    </row>
    <row r="45" spans="1:22" ht="15" x14ac:dyDescent="0.25">
      <c r="A45" s="111"/>
      <c r="F45" s="112"/>
      <c r="G45" s="1414"/>
      <c r="H45" s="111"/>
      <c r="M45" s="112"/>
      <c r="N45" s="622"/>
      <c r="O45" s="1414"/>
      <c r="P45" s="643"/>
      <c r="Q45" s="1415"/>
      <c r="R45" s="1415"/>
      <c r="S45" s="1415"/>
      <c r="T45" s="1415"/>
      <c r="U45" s="1415"/>
      <c r="V45" s="1415"/>
    </row>
    <row r="46" spans="1:22" ht="15" x14ac:dyDescent="0.25">
      <c r="A46" s="2013" t="s">
        <v>23</v>
      </c>
      <c r="B46" s="2014"/>
      <c r="C46" s="2014"/>
      <c r="D46" s="2014"/>
      <c r="E46" s="2015"/>
      <c r="F46" s="654">
        <f>+F31-F44</f>
        <v>21850</v>
      </c>
      <c r="G46" s="1414"/>
      <c r="H46" s="1935" t="s">
        <v>23</v>
      </c>
      <c r="I46" s="1936"/>
      <c r="J46" s="1936"/>
      <c r="K46" s="1936"/>
      <c r="L46" s="2016"/>
      <c r="M46" s="655">
        <f>+M31-M44</f>
        <v>18730</v>
      </c>
      <c r="N46" s="622"/>
      <c r="O46" s="1414"/>
      <c r="P46" s="1415"/>
      <c r="Q46" s="1415"/>
      <c r="R46" s="1415"/>
      <c r="S46" s="1415"/>
      <c r="T46" s="1415"/>
      <c r="U46" s="1415"/>
      <c r="V46" s="1415"/>
    </row>
    <row r="47" spans="1:22" ht="15.75" thickBot="1" x14ac:dyDescent="0.3">
      <c r="A47" s="111"/>
      <c r="F47" s="656">
        <f>F46/F31</f>
        <v>0.91041666666666665</v>
      </c>
      <c r="G47" s="1414"/>
      <c r="H47" s="111"/>
      <c r="M47" s="112"/>
      <c r="N47" s="1417"/>
      <c r="O47" s="1414"/>
      <c r="P47" s="1415"/>
      <c r="Q47" s="1415"/>
      <c r="R47" s="1415"/>
      <c r="S47" s="1415"/>
      <c r="T47" s="1415"/>
      <c r="U47" s="1415"/>
      <c r="V47" s="1415"/>
    </row>
    <row r="48" spans="1:22" ht="15" x14ac:dyDescent="0.25">
      <c r="A48" s="1999"/>
      <c r="B48" s="2000"/>
      <c r="C48" s="2000"/>
      <c r="D48" s="2000"/>
      <c r="E48" s="2000"/>
      <c r="F48" s="2001"/>
      <c r="G48" s="1414"/>
      <c r="H48" s="1999"/>
      <c r="I48" s="2000"/>
      <c r="J48" s="2000"/>
      <c r="K48" s="2000"/>
      <c r="L48" s="2000"/>
      <c r="M48" s="2001"/>
      <c r="N48" s="1417"/>
      <c r="O48" s="1414"/>
      <c r="P48" s="1415"/>
      <c r="Q48" s="1415"/>
      <c r="R48" s="1415"/>
      <c r="S48" s="1415"/>
      <c r="T48" s="1415"/>
      <c r="U48" s="1415"/>
      <c r="V48" s="1415"/>
    </row>
    <row r="49" spans="1:22" ht="15.75" thickBot="1" x14ac:dyDescent="0.3">
      <c r="A49" s="2002"/>
      <c r="B49" s="2003"/>
      <c r="C49" s="2003"/>
      <c r="D49" s="2003"/>
      <c r="E49" s="2003"/>
      <c r="F49" s="2004"/>
      <c r="G49" s="1414"/>
      <c r="H49" s="2002"/>
      <c r="I49" s="2003"/>
      <c r="J49" s="2003"/>
      <c r="K49" s="2003"/>
      <c r="L49" s="2003"/>
      <c r="M49" s="2004"/>
      <c r="N49" s="1417"/>
      <c r="O49" s="1417"/>
      <c r="P49" s="1415"/>
      <c r="Q49" s="1415"/>
      <c r="R49" s="1415"/>
      <c r="S49" s="1415"/>
      <c r="T49" s="1415"/>
      <c r="U49" s="1415"/>
      <c r="V49" s="1415"/>
    </row>
    <row r="50" spans="1:22" ht="15" x14ac:dyDescent="0.25">
      <c r="A50" s="1796" t="s">
        <v>832</v>
      </c>
      <c r="B50" s="1808">
        <f>N6+N17+F31+M31</f>
        <v>85962</v>
      </c>
      <c r="C50" s="1414"/>
      <c r="D50" s="1414"/>
      <c r="E50" s="1414"/>
      <c r="F50" s="1414"/>
      <c r="G50" s="1414"/>
      <c r="H50" s="1414"/>
      <c r="I50" s="1414"/>
      <c r="J50" s="1414"/>
      <c r="K50" s="1414"/>
      <c r="L50" s="1414"/>
      <c r="M50" s="1414"/>
      <c r="N50" s="1417"/>
      <c r="O50" s="105"/>
      <c r="P50" s="1415"/>
      <c r="Q50" s="1415"/>
      <c r="R50" s="1415"/>
      <c r="S50" s="1415"/>
      <c r="T50" s="1415"/>
      <c r="U50" s="1415"/>
      <c r="V50" s="1415"/>
    </row>
    <row r="51" spans="1:22" ht="15" x14ac:dyDescent="0.25">
      <c r="A51" s="1728" t="s">
        <v>833</v>
      </c>
      <c r="B51" s="1809">
        <f>N8+N9+F44+M44</f>
        <v>11240</v>
      </c>
      <c r="C51" s="1414"/>
      <c r="D51" s="1414"/>
      <c r="E51" s="1414"/>
      <c r="F51" s="1414"/>
      <c r="G51" s="1414"/>
      <c r="H51" s="1415"/>
      <c r="I51" s="1415"/>
      <c r="J51" s="1415"/>
      <c r="K51" s="1415"/>
      <c r="L51" s="1415"/>
      <c r="M51" s="1415"/>
      <c r="N51" s="658"/>
      <c r="O51" s="658"/>
      <c r="P51" s="1415"/>
      <c r="Q51" s="1415"/>
      <c r="R51" s="1415"/>
      <c r="S51" s="1415"/>
      <c r="T51" s="1415"/>
      <c r="U51" s="1415"/>
      <c r="V51" s="1415"/>
    </row>
    <row r="52" spans="1:22" ht="15" x14ac:dyDescent="0.25">
      <c r="A52" s="1728" t="s">
        <v>834</v>
      </c>
      <c r="B52" s="1810">
        <f>B50-B51</f>
        <v>74722</v>
      </c>
      <c r="C52" s="1414"/>
      <c r="D52" s="1414"/>
      <c r="E52" s="1414"/>
      <c r="F52" s="1414"/>
      <c r="G52" s="1414"/>
      <c r="H52" s="1415"/>
      <c r="I52" s="1415"/>
      <c r="J52" s="1415"/>
      <c r="K52" s="1415"/>
      <c r="L52" s="1415"/>
      <c r="M52" s="1415"/>
      <c r="N52" s="658"/>
      <c r="O52" s="658"/>
      <c r="P52" s="1415"/>
      <c r="Q52" s="1415"/>
      <c r="R52" s="1415"/>
      <c r="S52" s="1415"/>
      <c r="T52" s="1415"/>
      <c r="U52" s="1415"/>
      <c r="V52" s="1415"/>
    </row>
    <row r="53" spans="1:22" ht="15" x14ac:dyDescent="0.25">
      <c r="A53" s="657"/>
      <c r="B53" s="657"/>
      <c r="C53" s="1414"/>
      <c r="D53" s="1414"/>
      <c r="E53" s="1414"/>
      <c r="F53" s="1414"/>
      <c r="G53" s="1414"/>
      <c r="H53" s="1415"/>
      <c r="I53" s="1415"/>
      <c r="J53" s="1415"/>
      <c r="K53" s="1415"/>
      <c r="L53" s="1415"/>
      <c r="M53" s="1415"/>
      <c r="N53" s="625"/>
      <c r="O53" s="625"/>
      <c r="P53" s="1415"/>
      <c r="Q53" s="1415"/>
      <c r="R53" s="1415"/>
      <c r="S53" s="1415"/>
      <c r="T53" s="1415"/>
      <c r="U53" s="1415"/>
      <c r="V53" s="1415"/>
    </row>
    <row r="54" spans="1:22" ht="15" x14ac:dyDescent="0.25">
      <c r="A54" s="657"/>
      <c r="B54" s="657"/>
      <c r="C54" s="1414"/>
      <c r="D54" s="1414"/>
      <c r="E54" s="1414"/>
      <c r="F54" s="1414"/>
      <c r="G54" s="1414"/>
      <c r="H54" s="1415"/>
      <c r="I54" s="1415"/>
      <c r="J54" s="1415"/>
      <c r="K54" s="1415"/>
      <c r="L54" s="1415"/>
      <c r="M54" s="1415"/>
      <c r="N54" s="1416"/>
      <c r="O54" s="1416"/>
      <c r="P54" s="1415"/>
      <c r="Q54" s="1415"/>
      <c r="R54" s="1415"/>
      <c r="S54" s="1415"/>
      <c r="T54" s="1415"/>
      <c r="U54" s="1415"/>
      <c r="V54" s="1415"/>
    </row>
    <row r="55" spans="1:22" ht="15" x14ac:dyDescent="0.25">
      <c r="A55" s="657"/>
      <c r="B55" s="657"/>
      <c r="C55" s="1414"/>
      <c r="D55" s="1414"/>
      <c r="E55" s="1414"/>
      <c r="F55" s="1414"/>
      <c r="G55" s="1414"/>
      <c r="H55" s="1415"/>
      <c r="I55" s="1415"/>
      <c r="J55" s="1415"/>
      <c r="K55" s="1415"/>
      <c r="L55" s="1415"/>
      <c r="M55" s="1415"/>
      <c r="N55" s="625"/>
      <c r="O55" s="625"/>
      <c r="P55" s="1415"/>
      <c r="Q55" s="1415"/>
      <c r="R55" s="1415"/>
      <c r="S55" s="1415"/>
      <c r="T55" s="1415"/>
      <c r="U55" s="1415"/>
      <c r="V55" s="1415"/>
    </row>
    <row r="56" spans="1:22" ht="15" x14ac:dyDescent="0.25">
      <c r="A56" s="299"/>
      <c r="B56" s="299"/>
      <c r="C56" s="1415"/>
      <c r="D56" s="1415"/>
      <c r="E56" s="1415"/>
      <c r="F56" s="1415"/>
      <c r="G56" s="1415"/>
      <c r="H56" s="1415"/>
      <c r="I56" s="1415"/>
      <c r="J56" s="1415"/>
      <c r="K56" s="1415"/>
      <c r="L56" s="1415"/>
      <c r="M56" s="1415"/>
      <c r="N56" s="625"/>
      <c r="O56" s="625"/>
      <c r="P56" s="1415"/>
      <c r="Q56" s="1415"/>
      <c r="R56" s="1415"/>
      <c r="S56" s="1415"/>
      <c r="T56" s="1415"/>
      <c r="U56" s="1415"/>
      <c r="V56" s="1415"/>
    </row>
    <row r="57" spans="1:22" ht="24.75" customHeight="1" x14ac:dyDescent="0.25">
      <c r="A57" s="299"/>
      <c r="B57" s="299"/>
      <c r="C57" s="1415"/>
      <c r="D57" s="1415"/>
      <c r="E57" s="1415"/>
      <c r="F57" s="1415"/>
      <c r="G57" s="1415"/>
      <c r="H57" s="1415"/>
      <c r="I57" s="1415"/>
      <c r="J57" s="1415"/>
      <c r="K57" s="1415"/>
      <c r="L57" s="1415"/>
      <c r="M57" s="1415"/>
      <c r="N57" s="1415"/>
      <c r="O57" s="1415"/>
      <c r="P57" s="1415"/>
      <c r="Q57" s="1415"/>
      <c r="R57" s="1415"/>
      <c r="S57" s="1415"/>
      <c r="T57" s="1415"/>
      <c r="U57" s="1415"/>
      <c r="V57" s="1415"/>
    </row>
    <row r="58" spans="1:22" ht="15" x14ac:dyDescent="0.25">
      <c r="A58" s="299"/>
      <c r="B58" s="299"/>
      <c r="C58" s="1415"/>
      <c r="D58" s="1415"/>
      <c r="E58" s="1415"/>
      <c r="F58" s="1415"/>
      <c r="G58" s="1415"/>
      <c r="H58" s="1415"/>
      <c r="I58" s="1415"/>
      <c r="J58" s="1415"/>
      <c r="K58" s="1415"/>
      <c r="L58" s="1415"/>
      <c r="M58" s="1415"/>
      <c r="N58" s="1415"/>
      <c r="O58" s="1415"/>
      <c r="P58" s="1415"/>
      <c r="Q58" s="1415"/>
      <c r="R58" s="1415"/>
      <c r="S58" s="1415"/>
      <c r="T58" s="1415"/>
      <c r="U58" s="1415"/>
      <c r="V58" s="1415"/>
    </row>
    <row r="59" spans="1:22" ht="15" x14ac:dyDescent="0.25">
      <c r="A59" s="299"/>
      <c r="B59" s="299"/>
      <c r="C59" s="1415"/>
      <c r="D59" s="1415"/>
      <c r="E59" s="1415"/>
      <c r="F59" s="1415"/>
      <c r="G59" s="1415"/>
      <c r="H59" s="1415"/>
      <c r="I59" s="1415"/>
      <c r="J59" s="1415"/>
      <c r="K59" s="1415"/>
      <c r="L59" s="1415"/>
      <c r="M59" s="1415"/>
      <c r="N59" s="1415"/>
      <c r="O59" s="1415"/>
      <c r="P59" s="1415"/>
      <c r="Q59" s="1415"/>
      <c r="R59" s="1415"/>
      <c r="S59" s="1415"/>
      <c r="T59" s="1415"/>
      <c r="U59" s="1415"/>
      <c r="V59" s="1415"/>
    </row>
    <row r="60" spans="1:22" ht="15" x14ac:dyDescent="0.25">
      <c r="C60" s="1415"/>
      <c r="D60" s="1415"/>
      <c r="E60" s="1415"/>
      <c r="F60" s="1415"/>
      <c r="G60" s="1415"/>
      <c r="H60" s="1415"/>
      <c r="I60" s="1415"/>
      <c r="J60" s="1415"/>
      <c r="K60" s="1415"/>
      <c r="L60" s="1415"/>
      <c r="M60" s="1415"/>
      <c r="N60" s="1415"/>
      <c r="O60" s="1415"/>
      <c r="P60" s="1415"/>
      <c r="Q60" s="1415"/>
      <c r="R60" s="1415"/>
      <c r="S60" s="1415"/>
      <c r="T60" s="1415"/>
      <c r="U60" s="1415"/>
      <c r="V60" s="1415"/>
    </row>
    <row r="61" spans="1:22" ht="15" x14ac:dyDescent="0.25">
      <c r="C61" s="1415"/>
      <c r="D61" s="1415"/>
      <c r="E61" s="1415"/>
      <c r="F61" s="1415"/>
      <c r="G61" s="1415"/>
      <c r="H61" s="1415"/>
      <c r="I61" s="1415"/>
      <c r="J61" s="1415"/>
      <c r="K61" s="1415"/>
      <c r="L61" s="1415"/>
      <c r="M61" s="1415"/>
      <c r="N61" s="1415"/>
      <c r="O61" s="1415"/>
      <c r="P61" s="1415"/>
      <c r="Q61" s="1415"/>
      <c r="R61" s="1415"/>
      <c r="S61" s="1415"/>
      <c r="T61" s="1415"/>
      <c r="U61" s="1415"/>
      <c r="V61" s="1415"/>
    </row>
    <row r="62" spans="1:22" ht="15" x14ac:dyDescent="0.25">
      <c r="C62" s="1415"/>
      <c r="D62" s="1415"/>
      <c r="E62" s="1415"/>
      <c r="F62" s="1415"/>
      <c r="G62" s="1415"/>
      <c r="H62" s="1415"/>
      <c r="I62" s="1415"/>
      <c r="J62" s="1415"/>
      <c r="K62" s="1415"/>
      <c r="L62" s="1415"/>
      <c r="M62" s="1415"/>
      <c r="N62" s="1415"/>
      <c r="O62" s="1415"/>
      <c r="P62" s="1415"/>
      <c r="Q62" s="1415"/>
      <c r="R62" s="1415"/>
      <c r="S62" s="1415"/>
      <c r="T62" s="1415"/>
      <c r="U62" s="1415"/>
      <c r="V62" s="1415"/>
    </row>
    <row r="63" spans="1:22" ht="15" x14ac:dyDescent="0.25">
      <c r="C63" s="1415"/>
      <c r="D63" s="1415"/>
      <c r="E63" s="1415"/>
      <c r="F63" s="1415"/>
      <c r="G63" s="1415"/>
      <c r="H63" s="1414"/>
      <c r="I63" s="1414"/>
      <c r="J63" s="1414"/>
      <c r="K63" s="1414"/>
      <c r="L63" s="1414"/>
      <c r="M63" s="1414"/>
      <c r="N63" s="1415"/>
      <c r="O63" s="1415"/>
      <c r="P63" s="1415"/>
      <c r="Q63" s="1415"/>
      <c r="R63" s="1415"/>
      <c r="S63" s="1415"/>
      <c r="T63" s="1415"/>
      <c r="U63" s="1415"/>
      <c r="V63" s="1415"/>
    </row>
    <row r="64" spans="1:22" ht="15" x14ac:dyDescent="0.25">
      <c r="C64" s="1415"/>
      <c r="D64" s="1415"/>
      <c r="E64" s="1415"/>
      <c r="F64" s="1415"/>
      <c r="G64" s="1415"/>
      <c r="H64" s="1414"/>
      <c r="I64" s="1414"/>
      <c r="J64" s="1414"/>
      <c r="K64" s="1414"/>
      <c r="L64" s="1414"/>
      <c r="M64" s="1414"/>
      <c r="N64" s="1415"/>
      <c r="O64" s="1415"/>
      <c r="P64" s="1415"/>
      <c r="Q64" s="1415"/>
      <c r="R64" s="1415"/>
      <c r="S64" s="1415"/>
      <c r="T64" s="1415"/>
      <c r="U64" s="1415"/>
      <c r="V64" s="1415"/>
    </row>
    <row r="65" spans="3:22" ht="15" x14ac:dyDescent="0.25">
      <c r="C65" s="1415"/>
      <c r="D65" s="1415"/>
      <c r="E65" s="1415"/>
      <c r="F65" s="1415"/>
      <c r="G65" s="1415"/>
      <c r="H65" s="1414"/>
      <c r="I65" s="1414"/>
      <c r="J65" s="1414"/>
      <c r="K65" s="1414"/>
      <c r="L65" s="1414"/>
      <c r="M65" s="1414"/>
      <c r="N65" s="1415"/>
      <c r="O65" s="1415"/>
      <c r="P65" s="1415"/>
      <c r="Q65" s="1415"/>
      <c r="R65" s="1415"/>
      <c r="S65" s="1415"/>
      <c r="T65" s="1415"/>
      <c r="U65" s="1415"/>
      <c r="V65" s="1415"/>
    </row>
    <row r="66" spans="3:22" ht="15" x14ac:dyDescent="0.25">
      <c r="C66" s="1415"/>
      <c r="D66" s="1415"/>
      <c r="E66" s="1415"/>
      <c r="F66" s="1415"/>
      <c r="G66" s="1415"/>
      <c r="N66" s="1415"/>
      <c r="O66" s="1415"/>
      <c r="P66" s="1415"/>
      <c r="Q66" s="1415"/>
      <c r="R66" s="1415"/>
      <c r="S66" s="1415"/>
      <c r="T66" s="1415"/>
      <c r="U66" s="1415"/>
      <c r="V66" s="1415"/>
    </row>
    <row r="67" spans="3:22" ht="15" x14ac:dyDescent="0.25">
      <c r="C67" s="1415"/>
      <c r="D67" s="1415"/>
      <c r="E67" s="1415"/>
      <c r="F67" s="1415"/>
      <c r="G67" s="1415"/>
      <c r="N67" s="1415"/>
      <c r="O67" s="1415"/>
      <c r="P67" s="1415"/>
      <c r="Q67" s="1415"/>
      <c r="R67" s="1415"/>
      <c r="S67" s="1415"/>
      <c r="T67" s="1415"/>
      <c r="U67" s="1415"/>
      <c r="V67" s="1415"/>
    </row>
    <row r="68" spans="3:22" ht="15" x14ac:dyDescent="0.25">
      <c r="C68" s="1415"/>
      <c r="D68" s="1415"/>
      <c r="E68" s="1415"/>
      <c r="F68" s="1415"/>
      <c r="G68" s="1415"/>
      <c r="N68" s="1415"/>
      <c r="O68" s="1415"/>
      <c r="P68" s="1415"/>
      <c r="Q68" s="1415"/>
      <c r="R68" s="1415"/>
      <c r="S68" s="1415"/>
      <c r="T68" s="1415"/>
      <c r="U68" s="1415"/>
      <c r="V68" s="1415"/>
    </row>
    <row r="69" spans="3:22" ht="15" x14ac:dyDescent="0.25">
      <c r="C69" s="1415"/>
      <c r="D69" s="1415"/>
      <c r="E69" s="1415"/>
      <c r="F69" s="1415"/>
      <c r="G69" s="1415"/>
      <c r="N69" s="1415"/>
      <c r="O69" s="1415"/>
      <c r="P69" s="1415"/>
      <c r="Q69" s="1415"/>
      <c r="R69" s="1415"/>
      <c r="S69" s="1415"/>
      <c r="T69" s="1415"/>
      <c r="U69" s="1415"/>
      <c r="V69" s="1415"/>
    </row>
    <row r="70" spans="3:22" ht="15" x14ac:dyDescent="0.25">
      <c r="D70" s="1415"/>
      <c r="E70" s="1415"/>
      <c r="F70" s="1415"/>
      <c r="G70" s="1415"/>
      <c r="N70" s="1415"/>
      <c r="O70" s="1415"/>
      <c r="P70" s="1415"/>
      <c r="Q70" s="1415"/>
      <c r="R70" s="1415"/>
      <c r="S70" s="1415"/>
      <c r="T70" s="1415"/>
      <c r="U70" s="1415"/>
      <c r="V70" s="1415"/>
    </row>
    <row r="71" spans="3:22" ht="15" x14ac:dyDescent="0.25">
      <c r="D71" s="1414"/>
      <c r="E71" s="1414"/>
      <c r="F71" s="1414"/>
      <c r="G71" s="1414"/>
      <c r="N71" s="1414"/>
      <c r="O71" s="1414"/>
      <c r="P71" s="1414"/>
      <c r="Q71" s="1414"/>
      <c r="R71" s="1414"/>
      <c r="S71" s="1414"/>
      <c r="T71" s="1414"/>
      <c r="U71" s="1414"/>
      <c r="V71" s="1414"/>
    </row>
    <row r="72" spans="3:22" ht="15" x14ac:dyDescent="0.25">
      <c r="D72" s="1414"/>
      <c r="E72" s="1414"/>
      <c r="F72" s="1414"/>
      <c r="G72" s="1414"/>
      <c r="N72" s="1414"/>
      <c r="O72" s="1414"/>
      <c r="P72" s="1414"/>
      <c r="Q72" s="1414"/>
      <c r="R72" s="1414"/>
      <c r="S72" s="1414"/>
      <c r="T72" s="1414"/>
      <c r="U72" s="1414"/>
      <c r="V72" s="1414"/>
    </row>
    <row r="73" spans="3:22" ht="15" x14ac:dyDescent="0.25">
      <c r="D73" s="1414"/>
      <c r="E73" s="1414"/>
      <c r="F73" s="1414"/>
      <c r="G73" s="1414"/>
      <c r="N73" s="1414"/>
      <c r="O73" s="1414"/>
      <c r="P73" s="1414"/>
      <c r="Q73" s="1414"/>
      <c r="R73" s="1414"/>
      <c r="S73" s="1414"/>
      <c r="T73" s="1414"/>
      <c r="U73" s="1414"/>
      <c r="V73" s="1414"/>
    </row>
  </sheetData>
  <mergeCells count="53">
    <mergeCell ref="H23:J23"/>
    <mergeCell ref="A1:N1"/>
    <mergeCell ref="A15:N15"/>
    <mergeCell ref="A18:N18"/>
    <mergeCell ref="A19:N19"/>
    <mergeCell ref="A20:F20"/>
    <mergeCell ref="H20:M20"/>
    <mergeCell ref="A21:C21"/>
    <mergeCell ref="H21:J21"/>
    <mergeCell ref="A22:C22"/>
    <mergeCell ref="H22:J22"/>
    <mergeCell ref="A23:C23"/>
    <mergeCell ref="A24:C24"/>
    <mergeCell ref="H24:M24"/>
    <mergeCell ref="A25:C25"/>
    <mergeCell ref="H25:J25"/>
    <mergeCell ref="H26:J26"/>
    <mergeCell ref="A31:C31"/>
    <mergeCell ref="H31:J31"/>
    <mergeCell ref="H32:M32"/>
    <mergeCell ref="A33:C33"/>
    <mergeCell ref="H33:J33"/>
    <mergeCell ref="H27:M28"/>
    <mergeCell ref="A29:C29"/>
    <mergeCell ref="H29:J29"/>
    <mergeCell ref="A30:C30"/>
    <mergeCell ref="H30:J30"/>
    <mergeCell ref="A34:C34"/>
    <mergeCell ref="H34:J34"/>
    <mergeCell ref="A35:C35"/>
    <mergeCell ref="H35:J35"/>
    <mergeCell ref="A36:C36"/>
    <mergeCell ref="H36:J36"/>
    <mergeCell ref="A37:C37"/>
    <mergeCell ref="H37:J37"/>
    <mergeCell ref="A38:C38"/>
    <mergeCell ref="H38:J38"/>
    <mergeCell ref="A39:C39"/>
    <mergeCell ref="H39:J39"/>
    <mergeCell ref="A40:C40"/>
    <mergeCell ref="H40:J40"/>
    <mergeCell ref="A41:C41"/>
    <mergeCell ref="H41:J41"/>
    <mergeCell ref="A42:C42"/>
    <mergeCell ref="H42:J42"/>
    <mergeCell ref="A48:F49"/>
    <mergeCell ref="H48:M49"/>
    <mergeCell ref="A43:C43"/>
    <mergeCell ref="H43:J43"/>
    <mergeCell ref="A44:C44"/>
    <mergeCell ref="H44:J44"/>
    <mergeCell ref="A46:E46"/>
    <mergeCell ref="H46:L46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V45"/>
  <sheetViews>
    <sheetView zoomScale="150" zoomScaleNormal="150" workbookViewId="0">
      <selection activeCell="B27" sqref="B27"/>
    </sheetView>
  </sheetViews>
  <sheetFormatPr defaultRowHeight="12.75" x14ac:dyDescent="0.2"/>
  <cols>
    <col min="1" max="1" width="29.28515625" customWidth="1"/>
    <col min="2" max="2" width="9.28515625" bestFit="1" customWidth="1"/>
    <col min="4" max="4" width="9.7109375" bestFit="1" customWidth="1"/>
    <col min="5" max="5" width="12.7109375" bestFit="1" customWidth="1"/>
    <col min="6" max="6" width="9.42578125" bestFit="1" customWidth="1"/>
    <col min="7" max="7" width="13.140625" customWidth="1"/>
    <col min="10" max="13" width="9.28515625" bestFit="1" customWidth="1"/>
    <col min="14" max="14" width="11.5703125" customWidth="1"/>
  </cols>
  <sheetData>
    <row r="1" spans="1:22" ht="15.75" x14ac:dyDescent="0.2">
      <c r="A1" s="2053" t="s">
        <v>667</v>
      </c>
      <c r="B1" s="2053"/>
      <c r="C1" s="2053"/>
      <c r="D1" s="2053"/>
      <c r="E1" s="2053"/>
      <c r="F1" s="2053"/>
      <c r="G1" s="2053"/>
      <c r="H1" s="2053"/>
      <c r="I1" s="2053"/>
      <c r="J1" s="2053"/>
      <c r="K1" s="2053"/>
      <c r="L1" s="2053"/>
      <c r="M1" s="2053"/>
      <c r="N1" s="2053"/>
      <c r="P1" s="1459"/>
      <c r="Q1" s="1459"/>
    </row>
    <row r="2" spans="1:22" ht="15" x14ac:dyDescent="0.25">
      <c r="A2" s="331"/>
      <c r="B2" s="332" t="s">
        <v>330</v>
      </c>
      <c r="C2" s="332" t="s">
        <v>331</v>
      </c>
      <c r="D2" s="332" t="s">
        <v>332</v>
      </c>
      <c r="E2" s="332" t="s">
        <v>333</v>
      </c>
      <c r="F2" s="332" t="s">
        <v>334</v>
      </c>
      <c r="G2" s="332" t="s">
        <v>335</v>
      </c>
      <c r="H2" s="332" t="s">
        <v>336</v>
      </c>
      <c r="I2" s="332" t="s">
        <v>337</v>
      </c>
      <c r="J2" s="332" t="s">
        <v>338</v>
      </c>
      <c r="K2" s="332" t="s">
        <v>339</v>
      </c>
      <c r="L2" s="332" t="s">
        <v>340</v>
      </c>
      <c r="M2" s="332" t="s">
        <v>341</v>
      </c>
      <c r="N2" s="333" t="s">
        <v>6</v>
      </c>
      <c r="O2" s="1460"/>
      <c r="P2" s="1461"/>
      <c r="Q2" s="1461"/>
    </row>
    <row r="3" spans="1:22" ht="15" hidden="1" x14ac:dyDescent="0.25">
      <c r="A3" s="389" t="s">
        <v>342</v>
      </c>
      <c r="B3" s="335">
        <v>0</v>
      </c>
      <c r="C3" s="335">
        <v>0</v>
      </c>
      <c r="D3" s="335">
        <v>0</v>
      </c>
      <c r="E3" s="335">
        <v>0</v>
      </c>
      <c r="F3" s="335">
        <v>0</v>
      </c>
      <c r="G3" s="335">
        <v>0</v>
      </c>
      <c r="H3" s="335">
        <v>0</v>
      </c>
      <c r="I3" s="335">
        <v>0</v>
      </c>
      <c r="J3" s="335">
        <v>0</v>
      </c>
      <c r="K3" s="335">
        <v>0</v>
      </c>
      <c r="L3" s="335">
        <v>0</v>
      </c>
      <c r="M3" s="335">
        <v>0</v>
      </c>
      <c r="N3" s="1462">
        <f>SUM(B3:M3)</f>
        <v>0</v>
      </c>
      <c r="O3" s="1460"/>
      <c r="P3" s="1463"/>
      <c r="Q3" s="1463"/>
      <c r="R3" s="1463"/>
      <c r="S3" s="1463"/>
      <c r="T3" s="1460"/>
      <c r="U3" s="1460"/>
      <c r="V3" s="1460"/>
    </row>
    <row r="4" spans="1:22" ht="15" hidden="1" x14ac:dyDescent="0.25">
      <c r="A4" s="337" t="s">
        <v>343</v>
      </c>
      <c r="B4" s="335"/>
      <c r="C4" s="335"/>
      <c r="D4" s="335"/>
      <c r="E4" s="335"/>
      <c r="F4" s="338">
        <v>0</v>
      </c>
      <c r="G4" s="335"/>
      <c r="H4" s="335"/>
      <c r="I4" s="335"/>
      <c r="J4" s="335"/>
      <c r="K4" s="335"/>
      <c r="L4" s="338"/>
      <c r="M4" s="338"/>
      <c r="N4" s="1462">
        <f>SUM(B4:M4)</f>
        <v>0</v>
      </c>
      <c r="O4" s="1460"/>
      <c r="P4" s="1463"/>
      <c r="Q4" s="1463"/>
      <c r="R4" s="1463"/>
      <c r="S4" s="1463"/>
      <c r="T4" s="1460"/>
      <c r="U4" s="1460"/>
      <c r="V4" s="1460"/>
    </row>
    <row r="5" spans="1:22" ht="15" hidden="1" x14ac:dyDescent="0.25">
      <c r="A5" s="389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8"/>
      <c r="M5" s="338"/>
      <c r="N5" s="1462">
        <f>SUM(B5:M5)</f>
        <v>0</v>
      </c>
      <c r="O5" s="1460"/>
      <c r="P5" s="1463"/>
      <c r="Q5" s="1463"/>
      <c r="R5" s="1463"/>
      <c r="S5" s="1463"/>
      <c r="T5" s="1460"/>
      <c r="U5" s="1460"/>
      <c r="V5" s="1460"/>
    </row>
    <row r="6" spans="1:22" ht="15" hidden="1" x14ac:dyDescent="0.25">
      <c r="A6" s="578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  <c r="N6" s="1462">
        <f>SUM(B6:M6)</f>
        <v>0</v>
      </c>
      <c r="O6" s="1460"/>
      <c r="P6" s="1463"/>
      <c r="Q6" s="1463"/>
      <c r="R6" s="1463"/>
      <c r="S6" s="1463"/>
      <c r="T6" s="1460"/>
      <c r="U6" s="1460"/>
      <c r="V6" s="1460"/>
    </row>
    <row r="7" spans="1:22" ht="15.75" hidden="1" thickBot="1" x14ac:dyDescent="0.3">
      <c r="A7" s="578"/>
      <c r="B7" s="1464"/>
      <c r="C7" s="1464"/>
      <c r="D7" s="1464"/>
      <c r="E7" s="1464"/>
      <c r="F7" s="1464"/>
      <c r="G7" s="1464"/>
      <c r="H7" s="1464"/>
      <c r="I7" s="1464"/>
      <c r="J7" s="1464"/>
      <c r="K7" s="1464"/>
      <c r="L7" s="1465"/>
      <c r="M7" s="1465"/>
      <c r="N7" s="1462">
        <f>SUM(B7:M7)</f>
        <v>0</v>
      </c>
      <c r="O7" s="1460"/>
      <c r="P7" s="1463"/>
      <c r="Q7" s="1463"/>
      <c r="R7" s="1463"/>
      <c r="S7" s="1463"/>
      <c r="T7" s="1460"/>
      <c r="U7" s="1460"/>
      <c r="V7" s="1460"/>
    </row>
    <row r="8" spans="1:22" ht="15.75" hidden="1" thickBot="1" x14ac:dyDescent="0.3">
      <c r="A8" s="344" t="s">
        <v>10</v>
      </c>
      <c r="B8" s="1466">
        <f t="shared" ref="B8:L8" si="0">SUM(B3:B7)</f>
        <v>0</v>
      </c>
      <c r="C8" s="1466">
        <f t="shared" si="0"/>
        <v>0</v>
      </c>
      <c r="D8" s="1466">
        <f t="shared" si="0"/>
        <v>0</v>
      </c>
      <c r="E8" s="1466">
        <f t="shared" si="0"/>
        <v>0</v>
      </c>
      <c r="F8" s="1466">
        <f t="shared" si="0"/>
        <v>0</v>
      </c>
      <c r="G8" s="1466">
        <f t="shared" si="0"/>
        <v>0</v>
      </c>
      <c r="H8" s="1466">
        <f t="shared" si="0"/>
        <v>0</v>
      </c>
      <c r="I8" s="1466">
        <f t="shared" si="0"/>
        <v>0</v>
      </c>
      <c r="J8" s="1466">
        <f t="shared" si="0"/>
        <v>0</v>
      </c>
      <c r="K8" s="1466">
        <f t="shared" si="0"/>
        <v>0</v>
      </c>
      <c r="L8" s="1467">
        <f t="shared" si="0"/>
        <v>0</v>
      </c>
      <c r="M8" s="1467">
        <f>SUM(M3:M7)</f>
        <v>0</v>
      </c>
      <c r="N8" s="1467">
        <f>SUM(N3:N7)</f>
        <v>0</v>
      </c>
      <c r="O8" s="1460"/>
      <c r="P8" s="1463"/>
      <c r="Q8" s="1463"/>
      <c r="R8" s="1463"/>
      <c r="S8" s="1463"/>
      <c r="T8" s="1460"/>
      <c r="U8" s="1460"/>
      <c r="V8" s="1460"/>
    </row>
    <row r="9" spans="1:22" ht="15" hidden="1" x14ac:dyDescent="0.25">
      <c r="A9" s="1468" t="s">
        <v>87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  <c r="M9" s="343"/>
      <c r="N9" s="1469">
        <f>SUM(B9:M9)</f>
        <v>0</v>
      </c>
      <c r="O9" s="1460"/>
      <c r="P9" s="1463"/>
      <c r="Q9" s="1463"/>
      <c r="R9" s="1463"/>
      <c r="S9" s="1463"/>
      <c r="T9" s="1460"/>
      <c r="U9" s="1460"/>
      <c r="V9" s="1460"/>
    </row>
    <row r="10" spans="1:22" ht="15" hidden="1" x14ac:dyDescent="0.25">
      <c r="A10" s="1468" t="s">
        <v>344</v>
      </c>
      <c r="B10" s="342"/>
      <c r="C10" s="342"/>
      <c r="D10" s="342"/>
      <c r="E10" s="342"/>
      <c r="F10" s="343"/>
      <c r="G10" s="342"/>
      <c r="H10" s="342"/>
      <c r="I10" s="342"/>
      <c r="J10" s="342"/>
      <c r="K10" s="342"/>
      <c r="L10" s="343"/>
      <c r="M10" s="343"/>
      <c r="N10" s="1469">
        <f t="shared" ref="N10:N16" si="1">SUM(B10:M10)</f>
        <v>0</v>
      </c>
      <c r="O10" s="1460"/>
      <c r="P10" s="1463"/>
      <c r="Q10" s="1463"/>
      <c r="R10" s="1463"/>
      <c r="S10" s="1463"/>
      <c r="T10" s="1460"/>
      <c r="U10" s="1460"/>
      <c r="V10" s="1460"/>
    </row>
    <row r="11" spans="1:22" ht="15" x14ac:dyDescent="0.25">
      <c r="A11" s="1470" t="s">
        <v>345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>
        <v>1000</v>
      </c>
      <c r="L11" s="340"/>
      <c r="M11" s="340"/>
      <c r="N11" s="1471">
        <f t="shared" si="1"/>
        <v>1000</v>
      </c>
      <c r="O11" s="1460"/>
      <c r="P11" s="1463"/>
      <c r="Q11" s="1463"/>
      <c r="R11" s="1463"/>
      <c r="S11" s="1463"/>
      <c r="T11" s="1460"/>
      <c r="U11" s="1460"/>
      <c r="V11" s="1460"/>
    </row>
    <row r="12" spans="1:22" ht="15" hidden="1" x14ac:dyDescent="0.25">
      <c r="A12" s="1470" t="s">
        <v>346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  <c r="N12" s="1469">
        <f t="shared" si="1"/>
        <v>0</v>
      </c>
      <c r="O12" s="1460"/>
      <c r="P12" s="1463"/>
      <c r="Q12" s="1463"/>
      <c r="R12" s="1463"/>
      <c r="S12" s="1463"/>
      <c r="T12" s="1460"/>
      <c r="U12" s="1460"/>
      <c r="V12" s="1460"/>
    </row>
    <row r="13" spans="1:22" ht="15" x14ac:dyDescent="0.25">
      <c r="A13" s="1470" t="s">
        <v>347</v>
      </c>
      <c r="B13" s="340">
        <v>250</v>
      </c>
      <c r="C13" s="340">
        <v>250</v>
      </c>
      <c r="D13" s="340">
        <v>250</v>
      </c>
      <c r="E13" s="340">
        <v>250</v>
      </c>
      <c r="F13" s="340">
        <v>250</v>
      </c>
      <c r="G13" s="340">
        <v>250</v>
      </c>
      <c r="H13" s="340">
        <v>250</v>
      </c>
      <c r="I13" s="340">
        <v>250</v>
      </c>
      <c r="J13" s="340">
        <v>250</v>
      </c>
      <c r="K13" s="340">
        <v>250</v>
      </c>
      <c r="L13" s="340">
        <v>250</v>
      </c>
      <c r="M13" s="340">
        <v>250</v>
      </c>
      <c r="N13" s="1469">
        <f t="shared" si="1"/>
        <v>3000</v>
      </c>
      <c r="O13" s="1460"/>
      <c r="P13" s="1463"/>
      <c r="Q13" s="1463"/>
      <c r="R13" s="1463"/>
      <c r="S13" s="1463"/>
      <c r="T13" s="1460"/>
      <c r="U13" s="1460"/>
      <c r="V13" s="1460"/>
    </row>
    <row r="14" spans="1:22" ht="15" x14ac:dyDescent="0.25">
      <c r="A14" s="1470" t="s">
        <v>348</v>
      </c>
      <c r="B14" s="340"/>
      <c r="C14" s="340"/>
      <c r="D14" s="340">
        <v>1000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1469">
        <f t="shared" si="1"/>
        <v>1000</v>
      </c>
      <c r="O14" s="1460"/>
      <c r="P14" s="1463"/>
      <c r="Q14" s="1463"/>
      <c r="R14" s="1463"/>
      <c r="S14" s="1463"/>
      <c r="T14" s="1460"/>
      <c r="U14" s="1460"/>
      <c r="V14" s="1460"/>
    </row>
    <row r="15" spans="1:22" ht="15" x14ac:dyDescent="0.25">
      <c r="A15" s="578" t="s">
        <v>349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1469">
        <f t="shared" si="1"/>
        <v>0</v>
      </c>
      <c r="O15" s="1472"/>
      <c r="P15" s="1463"/>
      <c r="Q15" s="1463"/>
      <c r="R15" s="1463"/>
      <c r="S15" s="1463"/>
      <c r="T15" s="1460"/>
      <c r="U15" s="1460"/>
      <c r="V15" s="1460"/>
    </row>
    <row r="16" spans="1:22" ht="15.75" thickBot="1" x14ac:dyDescent="0.3">
      <c r="A16" s="578" t="s">
        <v>350</v>
      </c>
      <c r="B16" s="340">
        <v>548</v>
      </c>
      <c r="C16" s="340">
        <v>1008</v>
      </c>
      <c r="D16" s="340">
        <v>673</v>
      </c>
      <c r="E16" s="340">
        <v>773</v>
      </c>
      <c r="F16" s="340">
        <v>423</v>
      </c>
      <c r="G16" s="340">
        <v>423</v>
      </c>
      <c r="H16" s="340">
        <v>423</v>
      </c>
      <c r="I16" s="340">
        <v>1008</v>
      </c>
      <c r="J16" s="340">
        <v>923</v>
      </c>
      <c r="K16" s="340">
        <v>923</v>
      </c>
      <c r="L16" s="340">
        <v>548</v>
      </c>
      <c r="M16" s="340">
        <v>423</v>
      </c>
      <c r="N16" s="1469">
        <f t="shared" si="1"/>
        <v>8096</v>
      </c>
      <c r="O16" s="1472"/>
      <c r="P16" s="1473"/>
      <c r="Q16" s="1473"/>
      <c r="R16" s="1473"/>
      <c r="S16" s="1473"/>
      <c r="T16" s="1472"/>
      <c r="U16" s="1472"/>
      <c r="V16" s="1472"/>
    </row>
    <row r="17" spans="1:22" ht="15.75" thickBot="1" x14ac:dyDescent="0.3">
      <c r="A17" s="344" t="s">
        <v>8</v>
      </c>
      <c r="B17" s="1474">
        <f t="shared" ref="B17:N17" si="2">SUM(B9:B16)</f>
        <v>798</v>
      </c>
      <c r="C17" s="1474">
        <f t="shared" si="2"/>
        <v>1258</v>
      </c>
      <c r="D17" s="1474">
        <f t="shared" si="2"/>
        <v>1923</v>
      </c>
      <c r="E17" s="1474">
        <f t="shared" si="2"/>
        <v>1023</v>
      </c>
      <c r="F17" s="1474">
        <f t="shared" si="2"/>
        <v>673</v>
      </c>
      <c r="G17" s="1474">
        <f t="shared" si="2"/>
        <v>673</v>
      </c>
      <c r="H17" s="1474">
        <f t="shared" si="2"/>
        <v>673</v>
      </c>
      <c r="I17" s="1474">
        <f t="shared" si="2"/>
        <v>1258</v>
      </c>
      <c r="J17" s="1474">
        <f t="shared" si="2"/>
        <v>1173</v>
      </c>
      <c r="K17" s="1474">
        <f t="shared" si="2"/>
        <v>2173</v>
      </c>
      <c r="L17" s="1474">
        <f t="shared" si="2"/>
        <v>798</v>
      </c>
      <c r="M17" s="1474">
        <f t="shared" si="2"/>
        <v>673</v>
      </c>
      <c r="N17" s="1474">
        <f t="shared" si="2"/>
        <v>13096</v>
      </c>
      <c r="O17" s="1472"/>
      <c r="P17" s="1473"/>
      <c r="Q17" s="1473"/>
      <c r="R17" s="1473"/>
      <c r="S17" s="1473"/>
      <c r="T17" s="1472"/>
      <c r="U17" s="1472"/>
      <c r="V17" s="1472"/>
    </row>
    <row r="18" spans="1:22" ht="15.75" thickBot="1" x14ac:dyDescent="0.3">
      <c r="A18" s="147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1460"/>
      <c r="P18" s="1473"/>
      <c r="Q18" s="1473"/>
      <c r="R18" s="1473"/>
      <c r="S18" s="1473"/>
      <c r="T18" s="1472"/>
      <c r="U18" s="1472"/>
      <c r="V18" s="1472"/>
    </row>
    <row r="19" spans="1:22" ht="15.75" thickBot="1" x14ac:dyDescent="0.3">
      <c r="A19" s="344" t="s">
        <v>23</v>
      </c>
      <c r="B19" s="1474">
        <f t="shared" ref="B19:N19" si="3">B8-B17</f>
        <v>-798</v>
      </c>
      <c r="C19" s="1474">
        <f t="shared" si="3"/>
        <v>-1258</v>
      </c>
      <c r="D19" s="1474">
        <f t="shared" si="3"/>
        <v>-1923</v>
      </c>
      <c r="E19" s="1474">
        <f t="shared" si="3"/>
        <v>-1023</v>
      </c>
      <c r="F19" s="1474">
        <f t="shared" si="3"/>
        <v>-673</v>
      </c>
      <c r="G19" s="1474">
        <f t="shared" si="3"/>
        <v>-673</v>
      </c>
      <c r="H19" s="1474">
        <f t="shared" si="3"/>
        <v>-673</v>
      </c>
      <c r="I19" s="1474">
        <f t="shared" si="3"/>
        <v>-1258</v>
      </c>
      <c r="J19" s="1474">
        <f t="shared" si="3"/>
        <v>-1173</v>
      </c>
      <c r="K19" s="1474">
        <f t="shared" si="3"/>
        <v>-2173</v>
      </c>
      <c r="L19" s="1474">
        <f t="shared" si="3"/>
        <v>-798</v>
      </c>
      <c r="M19" s="1474">
        <f t="shared" si="3"/>
        <v>-673</v>
      </c>
      <c r="N19" s="1476">
        <f t="shared" si="3"/>
        <v>-13096</v>
      </c>
      <c r="O19" s="1460"/>
      <c r="P19" s="1463"/>
      <c r="Q19" s="1463"/>
      <c r="R19" s="1463"/>
      <c r="S19" s="1463"/>
      <c r="T19" s="1460"/>
      <c r="U19" s="1460"/>
      <c r="V19" s="1460"/>
    </row>
    <row r="20" spans="1:22" ht="15" x14ac:dyDescent="0.25">
      <c r="A20" s="346"/>
      <c r="B20" s="1460"/>
      <c r="C20" s="1460"/>
      <c r="D20" s="1460"/>
      <c r="E20" s="1460"/>
      <c r="F20" s="1460"/>
      <c r="G20" s="1460"/>
      <c r="H20" s="1460"/>
      <c r="I20" s="1460"/>
      <c r="J20" s="1460"/>
      <c r="K20" s="1460"/>
      <c r="L20" s="1460"/>
      <c r="M20" s="1460"/>
      <c r="N20" s="1460"/>
      <c r="O20" s="346"/>
      <c r="P20" s="107"/>
      <c r="Q20" s="750"/>
      <c r="R20" s="1463"/>
      <c r="S20" s="1463"/>
      <c r="T20" s="1460"/>
      <c r="U20" s="1460"/>
      <c r="V20" s="1460"/>
    </row>
    <row r="21" spans="1:22" ht="15" x14ac:dyDescent="0.25">
      <c r="A21" s="346"/>
      <c r="B21" s="657"/>
      <c r="C21" s="1472"/>
      <c r="D21" s="1472"/>
      <c r="E21" s="1472"/>
      <c r="F21" s="1472"/>
      <c r="G21" s="1472"/>
      <c r="H21" s="1472"/>
      <c r="I21" s="1460"/>
      <c r="J21" s="1460"/>
      <c r="K21" s="1460"/>
      <c r="L21" s="1460"/>
      <c r="M21" s="1460"/>
      <c r="N21" s="1460"/>
      <c r="O21" s="1460"/>
    </row>
    <row r="22" spans="1:22" ht="15.75" thickBot="1" x14ac:dyDescent="0.3">
      <c r="A22" s="1448" t="s">
        <v>30</v>
      </c>
      <c r="B22" s="1448"/>
      <c r="C22" s="1472"/>
      <c r="D22" s="1472"/>
      <c r="E22" s="1472"/>
      <c r="F22" s="1460"/>
      <c r="G22" s="1460"/>
      <c r="H22" s="1460"/>
      <c r="I22" s="1460"/>
      <c r="J22" s="1460"/>
      <c r="K22" s="1460"/>
      <c r="L22" s="1460"/>
      <c r="M22" s="1460"/>
      <c r="N22" s="1460"/>
      <c r="O22" s="1460"/>
      <c r="P22" s="1463"/>
      <c r="Q22" s="1463"/>
      <c r="R22" s="1463"/>
      <c r="S22" s="1463"/>
      <c r="T22" s="1460"/>
      <c r="U22" s="1460"/>
      <c r="V22" s="1460"/>
    </row>
    <row r="23" spans="1:22" ht="15" x14ac:dyDescent="0.25">
      <c r="A23" s="1477" t="s">
        <v>351</v>
      </c>
      <c r="B23" s="1478" t="s">
        <v>649</v>
      </c>
      <c r="C23" s="704"/>
      <c r="D23" s="704"/>
      <c r="E23" s="704"/>
      <c r="F23" s="704"/>
      <c r="G23" s="704"/>
      <c r="H23" s="704"/>
      <c r="I23" s="705"/>
      <c r="J23" s="705"/>
      <c r="K23" s="705"/>
      <c r="L23" s="705"/>
      <c r="M23" s="705"/>
      <c r="N23" s="706"/>
      <c r="O23" s="707"/>
      <c r="P23" s="708"/>
      <c r="Q23" s="1463"/>
      <c r="R23" s="1463"/>
      <c r="S23" s="1463"/>
      <c r="T23" s="1460"/>
      <c r="U23" s="1460"/>
      <c r="V23" s="1460"/>
    </row>
    <row r="24" spans="1:22" ht="15" x14ac:dyDescent="0.25">
      <c r="A24" s="348" t="s">
        <v>352</v>
      </c>
      <c r="B24" s="1448" t="s">
        <v>691</v>
      </c>
      <c r="C24" s="709"/>
      <c r="D24" s="709"/>
      <c r="E24" s="709"/>
      <c r="F24" s="709"/>
      <c r="G24" s="709"/>
      <c r="H24" s="709"/>
      <c r="I24" s="710"/>
      <c r="J24" s="710"/>
      <c r="K24" s="710"/>
      <c r="L24" s="710"/>
      <c r="M24" s="710"/>
      <c r="N24" s="711"/>
      <c r="O24" s="707"/>
      <c r="P24" s="708"/>
      <c r="Q24" s="1463"/>
      <c r="R24" s="1463"/>
      <c r="S24" s="1463"/>
      <c r="T24" s="1460"/>
      <c r="U24" s="1460"/>
      <c r="V24" s="1460"/>
    </row>
    <row r="25" spans="1:22" ht="15" x14ac:dyDescent="0.25">
      <c r="A25" s="348"/>
      <c r="B25" s="1448" t="s">
        <v>692</v>
      </c>
      <c r="C25" s="1473"/>
      <c r="D25" s="1473"/>
      <c r="E25" s="1473"/>
      <c r="F25" s="1473"/>
      <c r="G25" s="1473"/>
      <c r="H25" s="1473"/>
      <c r="I25" s="1479"/>
      <c r="J25" s="1479"/>
      <c r="K25" s="1479"/>
      <c r="L25" s="1479"/>
      <c r="M25" s="1479"/>
      <c r="N25" s="1480"/>
      <c r="O25" s="1472"/>
      <c r="P25" s="1463"/>
      <c r="Q25" s="1463"/>
      <c r="R25" s="1463"/>
      <c r="S25" s="1463"/>
      <c r="T25" s="1460"/>
      <c r="U25" s="1460"/>
      <c r="V25" s="1460"/>
    </row>
    <row r="26" spans="1:22" ht="15" x14ac:dyDescent="0.25">
      <c r="A26" s="348"/>
      <c r="B26" s="1448" t="s">
        <v>693</v>
      </c>
      <c r="C26" s="1473"/>
      <c r="D26" s="1473"/>
      <c r="E26" s="1473"/>
      <c r="F26" s="1473"/>
      <c r="G26" s="1473"/>
      <c r="H26" s="1473"/>
      <c r="I26" s="1479"/>
      <c r="J26" s="1479"/>
      <c r="K26" s="1479"/>
      <c r="L26" s="1479"/>
      <c r="M26" s="1479"/>
      <c r="N26" s="1480"/>
      <c r="O26" s="1472"/>
      <c r="P26" s="1463"/>
      <c r="Q26" s="1463"/>
      <c r="R26" s="1463"/>
      <c r="S26" s="1463"/>
      <c r="T26" s="1460"/>
      <c r="U26" s="1460"/>
      <c r="V26" s="1460"/>
    </row>
    <row r="27" spans="1:22" ht="15" x14ac:dyDescent="0.25">
      <c r="A27" s="1481" t="s">
        <v>353</v>
      </c>
      <c r="B27" s="1482" t="s">
        <v>694</v>
      </c>
      <c r="C27" s="710"/>
      <c r="D27" s="710"/>
      <c r="E27" s="710"/>
      <c r="F27" s="709"/>
      <c r="G27" s="709"/>
      <c r="H27" s="709"/>
      <c r="I27" s="709"/>
      <c r="J27" s="709"/>
      <c r="K27" s="709"/>
      <c r="L27" s="709"/>
      <c r="M27" s="709"/>
      <c r="N27" s="713"/>
      <c r="O27" s="712"/>
      <c r="P27" s="708"/>
      <c r="Q27" s="1463"/>
      <c r="R27" s="1463"/>
      <c r="S27" s="1463"/>
      <c r="T27" s="1460"/>
      <c r="U27" s="1460"/>
      <c r="V27" s="1460"/>
    </row>
    <row r="28" spans="1:22" ht="15" x14ac:dyDescent="0.25">
      <c r="A28" s="714"/>
      <c r="B28" s="714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2"/>
      <c r="P28" s="708"/>
      <c r="Q28" s="1463"/>
      <c r="R28" s="1463"/>
      <c r="S28" s="1463"/>
      <c r="T28" s="1460"/>
      <c r="U28" s="1460"/>
      <c r="V28" s="1460"/>
    </row>
    <row r="29" spans="1:22" ht="15" x14ac:dyDescent="0.25">
      <c r="A29" s="714"/>
      <c r="B29" s="714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2"/>
      <c r="P29" s="709"/>
      <c r="Q29" s="1473"/>
      <c r="R29" s="1473"/>
      <c r="S29" s="1473"/>
      <c r="T29" s="1472"/>
      <c r="U29" s="1472"/>
      <c r="V29" s="1472"/>
    </row>
    <row r="30" spans="1:22" ht="15" x14ac:dyDescent="0.25">
      <c r="A30" s="714" t="s">
        <v>647</v>
      </c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60"/>
      <c r="P30" s="1473"/>
      <c r="Q30" s="1473"/>
      <c r="R30" s="1473"/>
      <c r="S30" s="1473"/>
      <c r="T30" s="1472"/>
      <c r="U30" s="1472"/>
      <c r="V30" s="1472"/>
    </row>
    <row r="31" spans="1:22" ht="15" x14ac:dyDescent="0.25">
      <c r="A31" s="350"/>
      <c r="B31" s="349"/>
      <c r="C31" s="1460"/>
      <c r="D31" s="1460"/>
      <c r="E31" s="1460"/>
      <c r="F31" s="1460"/>
      <c r="G31" s="1460"/>
      <c r="H31" s="1460"/>
      <c r="I31" s="1460"/>
      <c r="J31" s="1460"/>
      <c r="K31" s="1460"/>
      <c r="L31" s="1460"/>
      <c r="M31" s="1460"/>
      <c r="N31" s="1460"/>
      <c r="O31" s="1460"/>
      <c r="P31" s="1473"/>
      <c r="Q31" s="1473"/>
      <c r="R31" s="1473"/>
      <c r="S31" s="1473"/>
      <c r="T31" s="1472"/>
      <c r="U31" s="1472"/>
      <c r="V31" s="1472"/>
    </row>
    <row r="32" spans="1:22" ht="15" x14ac:dyDescent="0.25">
      <c r="A32" s="346" t="s">
        <v>354</v>
      </c>
      <c r="B32" s="346"/>
      <c r="C32" s="1460"/>
      <c r="D32" s="1460"/>
      <c r="E32" s="1460"/>
      <c r="F32" s="1460"/>
      <c r="G32" s="1460"/>
      <c r="H32" s="1460"/>
      <c r="I32" s="1460"/>
      <c r="J32" s="1460"/>
      <c r="K32" s="1460"/>
      <c r="L32" s="1460"/>
      <c r="M32" s="1460"/>
      <c r="N32" s="1460"/>
      <c r="O32" s="1460"/>
      <c r="P32" s="1473"/>
      <c r="Q32" s="1473"/>
      <c r="R32" s="1473"/>
      <c r="S32" s="1473"/>
      <c r="T32" s="1472"/>
      <c r="U32" s="1472"/>
      <c r="V32" s="1472"/>
    </row>
    <row r="33" spans="1:22" ht="15" x14ac:dyDescent="0.25">
      <c r="A33" s="351" t="s">
        <v>355</v>
      </c>
      <c r="B33" s="346" t="s">
        <v>356</v>
      </c>
      <c r="C33" s="346"/>
      <c r="D33" s="1472"/>
      <c r="E33" s="1472"/>
      <c r="F33" s="1472"/>
      <c r="G33" s="346"/>
      <c r="H33" s="1472" t="s">
        <v>357</v>
      </c>
      <c r="I33" s="1472"/>
      <c r="J33" s="1472"/>
      <c r="K33" s="1472"/>
      <c r="L33" s="1472"/>
      <c r="M33" s="1472"/>
      <c r="N33" s="1472"/>
      <c r="O33" s="1460"/>
      <c r="P33" s="1473"/>
      <c r="Q33" s="1473"/>
      <c r="R33" s="1473"/>
      <c r="S33" s="1473"/>
      <c r="T33" s="1472"/>
      <c r="U33" s="1472"/>
      <c r="V33" s="1472"/>
    </row>
    <row r="34" spans="1:22" ht="15" x14ac:dyDescent="0.25">
      <c r="A34" s="351" t="s">
        <v>355</v>
      </c>
      <c r="B34" s="1484" t="s">
        <v>358</v>
      </c>
      <c r="C34" s="346"/>
      <c r="D34" s="1472"/>
      <c r="E34" s="1472"/>
      <c r="F34" s="1472"/>
      <c r="G34" s="346"/>
      <c r="H34" s="1472" t="s">
        <v>357</v>
      </c>
      <c r="I34" s="1472"/>
      <c r="J34" s="1472"/>
      <c r="K34" s="1472"/>
      <c r="L34" s="1472"/>
      <c r="M34" s="1472"/>
      <c r="N34" s="1472"/>
      <c r="O34" s="1460"/>
      <c r="P34" s="1473"/>
      <c r="Q34" s="1473"/>
      <c r="R34" s="1473"/>
      <c r="S34" s="1473"/>
      <c r="T34" s="1472"/>
      <c r="U34" s="1472"/>
      <c r="V34" s="1472"/>
    </row>
    <row r="35" spans="1:22" ht="15" x14ac:dyDescent="0.25">
      <c r="A35" s="351" t="s">
        <v>355</v>
      </c>
      <c r="B35" s="1485" t="s">
        <v>359</v>
      </c>
      <c r="C35" s="346"/>
      <c r="D35" s="1472"/>
      <c r="E35" s="1472"/>
      <c r="F35" s="346"/>
      <c r="G35" s="346"/>
      <c r="H35" s="1472" t="s">
        <v>357</v>
      </c>
      <c r="I35" s="1472"/>
      <c r="J35" s="1472"/>
      <c r="K35" s="1472"/>
      <c r="L35" s="1472"/>
      <c r="M35" s="1472"/>
      <c r="N35" s="1472"/>
      <c r="O35" s="1460"/>
      <c r="P35" s="1473"/>
      <c r="Q35" s="1473"/>
      <c r="R35" s="1473"/>
      <c r="S35" s="1473"/>
      <c r="T35" s="1472"/>
      <c r="U35" s="1472"/>
      <c r="V35" s="1472"/>
    </row>
    <row r="36" spans="1:22" ht="15" x14ac:dyDescent="0.25">
      <c r="A36" s="1486" t="s">
        <v>355</v>
      </c>
      <c r="B36" s="353" t="s">
        <v>695</v>
      </c>
      <c r="C36" s="353"/>
      <c r="D36" s="1487"/>
      <c r="E36" s="1487"/>
      <c r="F36" s="346"/>
      <c r="G36" s="346"/>
      <c r="H36" s="1487" t="s">
        <v>357</v>
      </c>
      <c r="I36" s="1487"/>
      <c r="J36" s="1487"/>
      <c r="K36" s="1472"/>
      <c r="L36" s="1472"/>
      <c r="M36" s="1472"/>
      <c r="N36" s="1472"/>
      <c r="O36" s="1472"/>
      <c r="P36" s="1473"/>
      <c r="Q36" s="1473"/>
      <c r="R36" s="1473"/>
      <c r="S36" s="1473"/>
      <c r="T36" s="1472"/>
      <c r="U36" s="1472"/>
      <c r="V36" s="1472"/>
    </row>
    <row r="37" spans="1:22" ht="15" x14ac:dyDescent="0.25">
      <c r="A37" s="351" t="s">
        <v>360</v>
      </c>
      <c r="B37" s="346" t="s">
        <v>361</v>
      </c>
      <c r="C37" s="1460"/>
      <c r="D37" s="1460"/>
      <c r="E37" s="1488" t="s">
        <v>696</v>
      </c>
      <c r="F37" s="346"/>
      <c r="G37" s="346"/>
      <c r="H37" s="1460" t="s">
        <v>357</v>
      </c>
      <c r="I37" s="1460"/>
      <c r="J37" s="1460"/>
      <c r="K37" s="1460"/>
      <c r="L37" s="1460"/>
      <c r="M37" s="1460"/>
      <c r="N37" s="1460"/>
      <c r="O37" s="1472"/>
      <c r="P37" s="1463"/>
      <c r="Q37" s="1463"/>
      <c r="R37" s="1463"/>
      <c r="S37" s="1463"/>
      <c r="T37" s="1460"/>
      <c r="U37" s="1460"/>
      <c r="V37" s="1460"/>
    </row>
    <row r="38" spans="1:22" ht="15" x14ac:dyDescent="0.25">
      <c r="A38" s="351" t="s">
        <v>360</v>
      </c>
      <c r="B38" s="346" t="s">
        <v>362</v>
      </c>
      <c r="C38" s="346"/>
      <c r="D38" s="1460"/>
      <c r="E38" s="1488" t="s">
        <v>363</v>
      </c>
      <c r="F38" s="346"/>
      <c r="G38" s="346"/>
      <c r="H38" s="1460" t="s">
        <v>357</v>
      </c>
      <c r="I38" s="1460"/>
      <c r="J38" s="1460"/>
      <c r="K38" s="1460"/>
      <c r="L38" s="1460"/>
      <c r="M38" s="1460"/>
      <c r="N38" s="1460"/>
      <c r="O38" s="1472"/>
      <c r="P38" s="1463"/>
      <c r="Q38" s="1463"/>
      <c r="R38" s="1463"/>
      <c r="S38" s="1463"/>
      <c r="T38" s="1460"/>
      <c r="U38" s="1460"/>
      <c r="V38" s="1460"/>
    </row>
    <row r="39" spans="1:22" ht="15" x14ac:dyDescent="0.25">
      <c r="A39" s="351" t="s">
        <v>360</v>
      </c>
      <c r="B39" s="346" t="s">
        <v>364</v>
      </c>
      <c r="C39" s="346"/>
      <c r="D39" s="1460"/>
      <c r="E39" s="1489">
        <v>5000</v>
      </c>
      <c r="F39" s="346"/>
      <c r="G39" s="1460"/>
      <c r="H39" s="1460" t="s">
        <v>357</v>
      </c>
      <c r="I39" s="1460"/>
      <c r="J39" s="1460"/>
      <c r="K39" s="1460"/>
      <c r="L39" s="1460"/>
      <c r="M39" s="1460"/>
      <c r="N39" s="1460"/>
      <c r="O39" s="1460"/>
      <c r="P39" s="1463"/>
      <c r="Q39" s="1463"/>
      <c r="R39" s="1463"/>
      <c r="S39" s="1463"/>
      <c r="T39" s="1460"/>
      <c r="U39" s="1460"/>
      <c r="V39" s="1460"/>
    </row>
    <row r="40" spans="1:22" ht="15" x14ac:dyDescent="0.25">
      <c r="A40" s="1490"/>
      <c r="D40" s="1463"/>
      <c r="E40" s="1491"/>
      <c r="F40" s="1463"/>
      <c r="G40" s="1463"/>
      <c r="H40" s="1463"/>
      <c r="I40" s="1463"/>
      <c r="J40" s="1463"/>
      <c r="K40" s="1463"/>
      <c r="L40" s="1463"/>
      <c r="M40" s="1463"/>
      <c r="N40" s="1463"/>
      <c r="O40" s="1460"/>
      <c r="P40" s="1463"/>
      <c r="Q40" s="1463"/>
      <c r="R40" s="1463"/>
      <c r="S40" s="1463"/>
      <c r="T40" s="1460"/>
      <c r="U40" s="1460"/>
      <c r="V40" s="1460"/>
    </row>
    <row r="41" spans="1:22" ht="15" x14ac:dyDescent="0.25">
      <c r="D41" s="1460"/>
      <c r="E41" s="1460"/>
      <c r="F41" s="1460"/>
      <c r="G41" s="1460"/>
      <c r="H41" s="1460"/>
      <c r="I41" s="1460"/>
      <c r="J41" s="1460"/>
      <c r="K41" s="1460"/>
      <c r="L41" s="1460"/>
      <c r="M41" s="1460"/>
      <c r="N41" s="1460"/>
      <c r="O41" s="1460"/>
      <c r="P41" s="1463"/>
      <c r="Q41" s="1463"/>
      <c r="R41" s="1463"/>
      <c r="S41" s="1463"/>
      <c r="T41" s="1460"/>
      <c r="U41" s="1460"/>
      <c r="V41" s="1460"/>
    </row>
    <row r="42" spans="1:22" ht="15" x14ac:dyDescent="0.25">
      <c r="A42" s="351"/>
      <c r="B42" s="346"/>
      <c r="C42" s="346"/>
      <c r="D42" s="1460"/>
      <c r="E42" s="1488"/>
      <c r="F42" s="346"/>
      <c r="G42" s="346"/>
      <c r="H42" s="1460"/>
      <c r="I42" s="1460"/>
      <c r="J42" s="1460"/>
      <c r="K42" s="1460"/>
      <c r="L42" s="1460"/>
      <c r="M42" s="1460"/>
      <c r="N42" s="1460"/>
      <c r="O42" s="1460"/>
      <c r="P42" s="1463"/>
      <c r="Q42" s="1463"/>
      <c r="R42" s="1463"/>
      <c r="S42" s="1463"/>
      <c r="T42" s="1460"/>
      <c r="U42" s="1460"/>
      <c r="V42" s="1460"/>
    </row>
    <row r="43" spans="1:22" ht="15" x14ac:dyDescent="0.25">
      <c r="A43" s="351"/>
      <c r="B43" s="346"/>
      <c r="C43" s="346"/>
      <c r="D43" s="1460"/>
      <c r="E43" s="1489"/>
      <c r="F43" s="1460"/>
      <c r="G43" s="1460"/>
      <c r="H43" s="1460"/>
      <c r="I43" s="1460"/>
      <c r="J43" s="1460"/>
      <c r="K43" s="1460"/>
      <c r="L43" s="1460"/>
      <c r="M43" s="1460"/>
      <c r="N43" s="1460"/>
      <c r="O43" s="1463"/>
      <c r="P43" s="1463"/>
      <c r="Q43" s="1463"/>
      <c r="R43" s="1463"/>
      <c r="S43" s="1463"/>
      <c r="T43" s="1460"/>
      <c r="U43" s="1460"/>
      <c r="V43" s="1460"/>
    </row>
    <row r="44" spans="1:22" ht="15" x14ac:dyDescent="0.25">
      <c r="A44" s="351"/>
      <c r="B44" s="346"/>
      <c r="C44" s="346"/>
      <c r="D44" s="1460"/>
      <c r="E44" s="1489"/>
      <c r="F44" s="346"/>
      <c r="G44" s="1460"/>
      <c r="H44" s="1460"/>
      <c r="I44" s="1460"/>
      <c r="J44" s="1460"/>
      <c r="K44" s="1460"/>
      <c r="L44" s="1460"/>
      <c r="M44" s="1460"/>
      <c r="N44" s="1460"/>
      <c r="O44" s="1463"/>
      <c r="P44" s="1463"/>
      <c r="Q44" s="1463"/>
      <c r="R44" s="1463"/>
      <c r="S44" s="1463"/>
      <c r="T44" s="1460"/>
      <c r="U44" s="1460"/>
      <c r="V44" s="1460"/>
    </row>
    <row r="45" spans="1:22" ht="15" x14ac:dyDescent="0.25">
      <c r="A45" s="1490"/>
      <c r="D45" s="1463"/>
      <c r="E45" s="1491"/>
      <c r="F45" s="1463"/>
      <c r="G45" s="1463"/>
      <c r="H45" s="1463"/>
      <c r="I45" s="1463"/>
      <c r="J45" s="1463"/>
      <c r="K45" s="1463"/>
      <c r="L45" s="1463"/>
      <c r="M45" s="1463"/>
      <c r="N45" s="1463"/>
      <c r="O45" s="1460"/>
      <c r="P45" s="1460"/>
      <c r="Q45" s="1460"/>
      <c r="R45" s="1460"/>
      <c r="S45" s="1460"/>
      <c r="T45" s="1460"/>
      <c r="U45" s="1460"/>
      <c r="V45" s="1460"/>
    </row>
  </sheetData>
  <mergeCells count="1">
    <mergeCell ref="A1:N1"/>
  </mergeCells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R153"/>
  <sheetViews>
    <sheetView topLeftCell="C1" zoomScale="125" zoomScaleNormal="125" zoomScaleSheetLayoutView="100" workbookViewId="0">
      <pane ySplit="2" topLeftCell="A112" activePane="bottomLeft" state="frozen"/>
      <selection pane="bottomLeft" activeCell="O53" sqref="O53"/>
    </sheetView>
  </sheetViews>
  <sheetFormatPr defaultColWidth="9.140625" defaultRowHeight="12.75" x14ac:dyDescent="0.2"/>
  <cols>
    <col min="1" max="1" width="29" style="109" customWidth="1"/>
    <col min="2" max="2" width="14.5703125" style="109" customWidth="1"/>
    <col min="3" max="3" width="30.85546875" style="109" bestFit="1" customWidth="1"/>
    <col min="4" max="4" width="29.140625" style="109" hidden="1" customWidth="1"/>
    <col min="5" max="5" width="11.5703125" style="109" customWidth="1"/>
    <col min="6" max="6" width="11.42578125" style="109" customWidth="1"/>
    <col min="7" max="7" width="12.140625" style="109" customWidth="1"/>
    <col min="8" max="8" width="16" style="109" customWidth="1"/>
    <col min="9" max="9" width="19.5703125" style="109" customWidth="1"/>
    <col min="10" max="10" width="17.42578125" style="109" customWidth="1"/>
    <col min="11" max="11" width="15.28515625" style="109" customWidth="1"/>
    <col min="12" max="12" width="12.140625" style="109" hidden="1" customWidth="1"/>
    <col min="13" max="13" width="16.42578125" style="109" customWidth="1"/>
    <col min="14" max="14" width="12.5703125" style="109" customWidth="1"/>
    <col min="15" max="15" width="11.7109375" style="109" customWidth="1"/>
    <col min="16" max="17" width="15.85546875" style="109" customWidth="1"/>
    <col min="18" max="16384" width="9.140625" style="109"/>
  </cols>
  <sheetData>
    <row r="1" spans="1:17" ht="15.75" x14ac:dyDescent="0.25">
      <c r="A1" s="2054" t="s">
        <v>664</v>
      </c>
      <c r="B1" s="2055"/>
      <c r="C1" s="2056"/>
      <c r="D1" s="1716" t="s">
        <v>530</v>
      </c>
      <c r="E1" s="2054" t="s">
        <v>665</v>
      </c>
      <c r="F1" s="2055"/>
      <c r="G1" s="2055"/>
      <c r="H1" s="2055"/>
      <c r="I1" s="2056"/>
      <c r="J1" s="2054" t="s">
        <v>666</v>
      </c>
      <c r="K1" s="2055"/>
      <c r="L1" s="2055"/>
      <c r="M1" s="2055"/>
      <c r="N1" s="2055"/>
      <c r="O1" s="2055"/>
      <c r="P1" s="2056"/>
      <c r="Q1" s="929"/>
    </row>
    <row r="2" spans="1:17" ht="25.5" x14ac:dyDescent="0.2">
      <c r="A2" s="930" t="s">
        <v>593</v>
      </c>
      <c r="B2" s="930" t="s">
        <v>594</v>
      </c>
      <c r="C2" s="930" t="s">
        <v>531</v>
      </c>
      <c r="D2" s="930"/>
      <c r="E2" s="930" t="s">
        <v>532</v>
      </c>
      <c r="F2" s="930" t="s">
        <v>533</v>
      </c>
      <c r="G2" s="931" t="s">
        <v>534</v>
      </c>
      <c r="H2" s="932" t="s">
        <v>535</v>
      </c>
      <c r="I2" s="933" t="s">
        <v>11</v>
      </c>
      <c r="J2" s="934" t="s">
        <v>536</v>
      </c>
      <c r="K2" s="930" t="s">
        <v>537</v>
      </c>
      <c r="L2" s="930" t="s">
        <v>538</v>
      </c>
      <c r="M2" s="930" t="s">
        <v>539</v>
      </c>
      <c r="N2" s="930" t="s">
        <v>485</v>
      </c>
      <c r="O2" s="930" t="s">
        <v>816</v>
      </c>
      <c r="P2" s="935" t="s">
        <v>8</v>
      </c>
      <c r="Q2" s="936" t="s">
        <v>540</v>
      </c>
    </row>
    <row r="3" spans="1:17" x14ac:dyDescent="0.2">
      <c r="A3" s="937" t="s">
        <v>595</v>
      </c>
      <c r="B3" s="822"/>
      <c r="C3" s="823"/>
      <c r="D3" s="823"/>
      <c r="E3" s="824"/>
      <c r="F3" s="825"/>
      <c r="G3" s="826"/>
      <c r="H3" s="827"/>
      <c r="I3" s="828"/>
      <c r="J3" s="829"/>
      <c r="K3" s="830"/>
      <c r="L3" s="830"/>
      <c r="M3" s="830"/>
      <c r="N3" s="830"/>
      <c r="O3" s="830"/>
      <c r="P3" s="831"/>
      <c r="Q3" s="832"/>
    </row>
    <row r="4" spans="1:17" x14ac:dyDescent="0.2">
      <c r="A4" s="938"/>
      <c r="B4" s="938"/>
      <c r="C4" s="939"/>
      <c r="D4" s="939"/>
      <c r="E4" s="137"/>
      <c r="F4" s="108"/>
      <c r="G4" s="833"/>
      <c r="H4" s="834"/>
      <c r="I4" s="835"/>
      <c r="J4" s="836"/>
      <c r="K4" s="837"/>
      <c r="L4" s="837"/>
      <c r="M4" s="837"/>
      <c r="N4" s="837"/>
      <c r="O4" s="838"/>
      <c r="P4" s="839"/>
      <c r="Q4" s="840"/>
    </row>
    <row r="5" spans="1:17" x14ac:dyDescent="0.2">
      <c r="A5" s="938"/>
      <c r="B5" s="939" t="s">
        <v>547</v>
      </c>
      <c r="C5" s="939" t="s">
        <v>573</v>
      </c>
      <c r="D5" s="847">
        <v>3264</v>
      </c>
      <c r="E5" s="410">
        <v>15</v>
      </c>
      <c r="F5" s="861">
        <v>169</v>
      </c>
      <c r="G5" s="940">
        <v>153</v>
      </c>
      <c r="H5" s="907"/>
      <c r="I5" s="843">
        <f t="shared" ref="I5:I10" si="0">E5*F5+H5</f>
        <v>2535</v>
      </c>
      <c r="J5" s="870">
        <v>760</v>
      </c>
      <c r="K5" s="861">
        <v>175</v>
      </c>
      <c r="L5" s="861"/>
      <c r="M5" s="861"/>
      <c r="N5" s="861">
        <v>50</v>
      </c>
      <c r="O5" s="861"/>
      <c r="P5" s="908">
        <f t="shared" ref="P5:P10" si="1">SUM(J5:O5)</f>
        <v>985</v>
      </c>
      <c r="Q5" s="909">
        <f t="shared" ref="Q5:Q10" si="2">I5-P5</f>
        <v>1550</v>
      </c>
    </row>
    <row r="6" spans="1:17" x14ac:dyDescent="0.2">
      <c r="A6" s="938"/>
      <c r="B6" s="939" t="s">
        <v>555</v>
      </c>
      <c r="C6" s="939" t="s">
        <v>575</v>
      </c>
      <c r="D6" s="847">
        <v>3240</v>
      </c>
      <c r="E6" s="410">
        <v>15</v>
      </c>
      <c r="F6" s="861">
        <v>360</v>
      </c>
      <c r="G6" s="940">
        <v>324</v>
      </c>
      <c r="H6" s="907"/>
      <c r="I6" s="843">
        <f t="shared" si="0"/>
        <v>5400</v>
      </c>
      <c r="J6" s="870">
        <v>3750</v>
      </c>
      <c r="K6" s="861">
        <v>50</v>
      </c>
      <c r="L6" s="861"/>
      <c r="M6" s="861"/>
      <c r="N6" s="861">
        <v>50</v>
      </c>
      <c r="O6" s="861"/>
      <c r="P6" s="908">
        <f t="shared" si="1"/>
        <v>3850</v>
      </c>
      <c r="Q6" s="909">
        <f t="shared" si="2"/>
        <v>1550</v>
      </c>
    </row>
    <row r="7" spans="1:17" x14ac:dyDescent="0.2">
      <c r="A7" s="938"/>
      <c r="B7" s="939" t="s">
        <v>543</v>
      </c>
      <c r="C7" s="939" t="s">
        <v>575</v>
      </c>
      <c r="D7" s="847">
        <v>3240</v>
      </c>
      <c r="E7" s="410">
        <v>15</v>
      </c>
      <c r="F7" s="861">
        <v>360</v>
      </c>
      <c r="G7" s="940">
        <v>324</v>
      </c>
      <c r="H7" s="907"/>
      <c r="I7" s="843">
        <f t="shared" si="0"/>
        <v>5400</v>
      </c>
      <c r="J7" s="870">
        <v>3750</v>
      </c>
      <c r="K7" s="861">
        <v>50</v>
      </c>
      <c r="L7" s="861"/>
      <c r="M7" s="861"/>
      <c r="N7" s="861">
        <v>50</v>
      </c>
      <c r="O7" s="861"/>
      <c r="P7" s="908">
        <f t="shared" si="1"/>
        <v>3850</v>
      </c>
      <c r="Q7" s="909">
        <f t="shared" si="2"/>
        <v>1550</v>
      </c>
    </row>
    <row r="8" spans="1:17" x14ac:dyDescent="0.2">
      <c r="A8" s="938"/>
      <c r="B8" s="939" t="s">
        <v>543</v>
      </c>
      <c r="C8" s="939" t="s">
        <v>573</v>
      </c>
      <c r="D8" s="847">
        <v>2440</v>
      </c>
      <c r="E8" s="137">
        <v>15</v>
      </c>
      <c r="F8" s="841">
        <v>168</v>
      </c>
      <c r="G8" s="911">
        <v>153</v>
      </c>
      <c r="H8" s="842"/>
      <c r="I8" s="848">
        <f t="shared" si="0"/>
        <v>2520</v>
      </c>
      <c r="J8" s="870">
        <v>570</v>
      </c>
      <c r="K8" s="861">
        <v>175</v>
      </c>
      <c r="L8" s="861"/>
      <c r="M8" s="861"/>
      <c r="N8" s="861">
        <v>50</v>
      </c>
      <c r="O8" s="861"/>
      <c r="P8" s="845">
        <f t="shared" si="1"/>
        <v>795</v>
      </c>
      <c r="Q8" s="846">
        <f t="shared" si="2"/>
        <v>1725</v>
      </c>
    </row>
    <row r="9" spans="1:17" x14ac:dyDescent="0.2">
      <c r="A9" s="938"/>
      <c r="B9" s="939" t="s">
        <v>544</v>
      </c>
      <c r="C9" s="939" t="s">
        <v>573</v>
      </c>
      <c r="D9" s="847">
        <v>2380</v>
      </c>
      <c r="E9" s="409">
        <v>25</v>
      </c>
      <c r="F9" s="841">
        <v>169</v>
      </c>
      <c r="G9" s="911">
        <v>153</v>
      </c>
      <c r="H9" s="842"/>
      <c r="I9" s="843">
        <f t="shared" si="0"/>
        <v>4225</v>
      </c>
      <c r="J9" s="844">
        <v>1254</v>
      </c>
      <c r="K9" s="841">
        <v>225</v>
      </c>
      <c r="L9" s="841"/>
      <c r="M9" s="841"/>
      <c r="N9" s="841">
        <v>50</v>
      </c>
      <c r="O9" s="841"/>
      <c r="P9" s="845">
        <f t="shared" si="1"/>
        <v>1529</v>
      </c>
      <c r="Q9" s="846">
        <f t="shared" si="2"/>
        <v>2696</v>
      </c>
    </row>
    <row r="10" spans="1:17" x14ac:dyDescent="0.2">
      <c r="A10" s="938"/>
      <c r="B10" s="939" t="s">
        <v>546</v>
      </c>
      <c r="C10" s="939" t="s">
        <v>573</v>
      </c>
      <c r="D10" s="847"/>
      <c r="E10" s="409">
        <v>15</v>
      </c>
      <c r="F10" s="841">
        <v>169</v>
      </c>
      <c r="G10" s="911">
        <v>153</v>
      </c>
      <c r="H10" s="842"/>
      <c r="I10" s="843">
        <f t="shared" si="0"/>
        <v>2535</v>
      </c>
      <c r="J10" s="844">
        <v>570</v>
      </c>
      <c r="K10" s="841">
        <v>100</v>
      </c>
      <c r="L10" s="841"/>
      <c r="M10" s="841"/>
      <c r="N10" s="841">
        <v>50</v>
      </c>
      <c r="O10" s="841"/>
      <c r="P10" s="845">
        <f t="shared" si="1"/>
        <v>720</v>
      </c>
      <c r="Q10" s="846">
        <f t="shared" si="2"/>
        <v>1815</v>
      </c>
    </row>
    <row r="11" spans="1:17" x14ac:dyDescent="0.2">
      <c r="A11" s="1377"/>
      <c r="B11" s="938"/>
      <c r="C11" s="939"/>
      <c r="D11" s="939"/>
      <c r="E11" s="137"/>
      <c r="F11" s="861"/>
      <c r="G11" s="833"/>
      <c r="H11" s="907"/>
      <c r="I11" s="843"/>
      <c r="J11" s="870"/>
      <c r="K11" s="861"/>
      <c r="L11" s="861"/>
      <c r="M11" s="861"/>
      <c r="N11" s="861"/>
      <c r="O11" s="907"/>
      <c r="P11" s="908"/>
      <c r="Q11" s="909"/>
    </row>
    <row r="12" spans="1:17" x14ac:dyDescent="0.2">
      <c r="A12" s="938"/>
      <c r="B12" s="938"/>
      <c r="C12" s="939"/>
      <c r="D12" s="939"/>
      <c r="E12" s="409"/>
      <c r="F12" s="841"/>
      <c r="G12" s="842"/>
      <c r="H12" s="842"/>
      <c r="I12" s="843"/>
      <c r="J12" s="844"/>
      <c r="K12" s="841"/>
      <c r="L12" s="841"/>
      <c r="M12" s="841"/>
      <c r="N12" s="841"/>
      <c r="O12" s="842"/>
      <c r="P12" s="845"/>
      <c r="Q12" s="846"/>
    </row>
    <row r="13" spans="1:17" x14ac:dyDescent="0.2">
      <c r="A13" s="941"/>
      <c r="B13" s="941"/>
      <c r="C13" s="939"/>
      <c r="D13" s="939"/>
      <c r="E13" s="409"/>
      <c r="F13" s="841"/>
      <c r="G13" s="842"/>
      <c r="H13" s="842"/>
      <c r="I13" s="843"/>
      <c r="J13" s="870"/>
      <c r="K13" s="841"/>
      <c r="L13" s="841"/>
      <c r="M13" s="841"/>
      <c r="N13" s="841"/>
      <c r="O13" s="842"/>
      <c r="P13" s="845"/>
      <c r="Q13" s="846"/>
    </row>
    <row r="14" spans="1:17" ht="13.5" thickBot="1" x14ac:dyDescent="0.25">
      <c r="A14" s="389"/>
      <c r="B14" s="389"/>
      <c r="C14" s="939"/>
      <c r="D14" s="939"/>
      <c r="E14" s="847"/>
      <c r="F14" s="108"/>
      <c r="G14" s="833"/>
      <c r="H14" s="842"/>
      <c r="I14" s="848"/>
      <c r="J14" s="844"/>
      <c r="K14" s="841"/>
      <c r="L14" s="841"/>
      <c r="M14" s="841"/>
      <c r="N14" s="841"/>
      <c r="O14" s="841"/>
      <c r="P14" s="845"/>
      <c r="Q14" s="846"/>
    </row>
    <row r="15" spans="1:17" ht="14.25" thickTop="1" thickBot="1" x14ac:dyDescent="0.25">
      <c r="A15" s="954" t="s">
        <v>596</v>
      </c>
      <c r="B15" s="942"/>
      <c r="C15" s="942"/>
      <c r="D15" s="943"/>
      <c r="E15" s="944"/>
      <c r="F15" s="945"/>
      <c r="G15" s="945"/>
      <c r="H15" s="945"/>
      <c r="I15" s="946">
        <f>SUM(I5:I14)</f>
        <v>22615</v>
      </c>
      <c r="J15" s="946">
        <f t="shared" ref="J15:O15" si="3">SUM(J5:J14)</f>
        <v>10654</v>
      </c>
      <c r="K15" s="946">
        <f t="shared" si="3"/>
        <v>775</v>
      </c>
      <c r="L15" s="946">
        <f t="shared" si="3"/>
        <v>0</v>
      </c>
      <c r="M15" s="946">
        <f t="shared" si="3"/>
        <v>0</v>
      </c>
      <c r="N15" s="946">
        <f t="shared" si="3"/>
        <v>300</v>
      </c>
      <c r="O15" s="946">
        <f t="shared" si="3"/>
        <v>0</v>
      </c>
      <c r="P15" s="946">
        <f>SUM(J15:O15)</f>
        <v>11729</v>
      </c>
      <c r="Q15" s="946">
        <f>I15-P15</f>
        <v>10886</v>
      </c>
    </row>
    <row r="16" spans="1:17" ht="13.5" thickTop="1" x14ac:dyDescent="0.2">
      <c r="A16" s="937" t="s">
        <v>597</v>
      </c>
      <c r="B16" s="822"/>
      <c r="C16" s="849"/>
      <c r="D16" s="849"/>
      <c r="E16" s="824"/>
      <c r="F16" s="824"/>
      <c r="G16" s="826"/>
      <c r="H16" s="826"/>
      <c r="I16" s="850"/>
      <c r="J16" s="851"/>
      <c r="K16" s="824"/>
      <c r="L16" s="824"/>
      <c r="M16" s="852"/>
      <c r="N16" s="824"/>
      <c r="O16" s="853"/>
      <c r="P16" s="854"/>
      <c r="Q16" s="855"/>
    </row>
    <row r="17" spans="1:18" x14ac:dyDescent="0.2">
      <c r="A17" s="331"/>
      <c r="B17" s="939" t="s">
        <v>544</v>
      </c>
      <c r="C17" s="939" t="s">
        <v>548</v>
      </c>
      <c r="D17" s="869">
        <v>19354</v>
      </c>
      <c r="E17" s="137">
        <v>25</v>
      </c>
      <c r="F17" s="907">
        <v>920</v>
      </c>
      <c r="G17" s="907">
        <v>832</v>
      </c>
      <c r="H17" s="907">
        <v>600</v>
      </c>
      <c r="I17" s="843">
        <f>E17*F17+H17</f>
        <v>23600</v>
      </c>
      <c r="J17" s="861">
        <v>4600</v>
      </c>
      <c r="K17" s="861"/>
      <c r="L17" s="861"/>
      <c r="M17" s="861">
        <v>9250</v>
      </c>
      <c r="N17" s="861">
        <v>75</v>
      </c>
      <c r="O17" s="861"/>
      <c r="P17" s="861">
        <f>J17+K17+L17+M17+N17</f>
        <v>13925</v>
      </c>
      <c r="Q17" s="909">
        <f>I17-P17</f>
        <v>9675</v>
      </c>
    </row>
    <row r="18" spans="1:18" ht="15" x14ac:dyDescent="0.25">
      <c r="A18" s="331"/>
      <c r="B18" s="939" t="s">
        <v>544</v>
      </c>
      <c r="C18" s="939" t="s">
        <v>550</v>
      </c>
      <c r="D18" s="869">
        <v>1802</v>
      </c>
      <c r="E18" s="409">
        <v>2</v>
      </c>
      <c r="F18" s="1722">
        <v>470</v>
      </c>
      <c r="G18" s="1722">
        <v>470</v>
      </c>
      <c r="H18" s="842"/>
      <c r="I18" s="848">
        <f>E18*F18+H18</f>
        <v>940</v>
      </c>
      <c r="J18" s="844"/>
      <c r="K18" s="841"/>
      <c r="L18" s="841"/>
      <c r="M18" s="841">
        <v>470</v>
      </c>
      <c r="N18" s="841">
        <v>50</v>
      </c>
      <c r="O18" s="841"/>
      <c r="P18" s="845">
        <f>SUM(J18:O18)</f>
        <v>520</v>
      </c>
      <c r="Q18" s="846">
        <f>I18-P18</f>
        <v>420</v>
      </c>
    </row>
    <row r="19" spans="1:18" x14ac:dyDescent="0.2">
      <c r="A19" s="331"/>
      <c r="B19" s="331"/>
      <c r="C19" s="947" t="s">
        <v>549</v>
      </c>
      <c r="D19" s="389"/>
      <c r="E19" s="137"/>
      <c r="F19" s="137"/>
      <c r="G19" s="871"/>
      <c r="H19" s="871"/>
      <c r="I19" s="900"/>
      <c r="J19" s="948"/>
      <c r="K19" s="137"/>
      <c r="L19" s="137"/>
      <c r="M19" s="389"/>
      <c r="N19" s="137"/>
      <c r="O19" s="200"/>
      <c r="P19" s="949"/>
      <c r="Q19" s="919"/>
    </row>
    <row r="20" spans="1:18" x14ac:dyDescent="0.2">
      <c r="A20" s="331"/>
      <c r="B20" s="331"/>
      <c r="C20" s="947" t="s">
        <v>551</v>
      </c>
      <c r="D20" s="389"/>
      <c r="E20" s="137"/>
      <c r="F20" s="137"/>
      <c r="G20" s="871"/>
      <c r="H20" s="871"/>
      <c r="I20" s="900"/>
      <c r="J20" s="948"/>
      <c r="K20" s="137"/>
      <c r="L20" s="137"/>
      <c r="M20" s="389"/>
      <c r="N20" s="137"/>
      <c r="O20" s="200"/>
      <c r="P20" s="949"/>
      <c r="Q20" s="919"/>
    </row>
    <row r="21" spans="1:18" x14ac:dyDescent="0.2">
      <c r="A21" s="331"/>
      <c r="B21" s="331"/>
      <c r="C21" s="947" t="s">
        <v>835</v>
      </c>
      <c r="D21" s="389"/>
      <c r="E21" s="137"/>
      <c r="F21" s="137"/>
      <c r="G21" s="871"/>
      <c r="H21" s="871"/>
      <c r="I21" s="900"/>
      <c r="J21" s="948"/>
      <c r="K21" s="137"/>
      <c r="L21" s="137"/>
      <c r="M21" s="389"/>
      <c r="N21" s="137"/>
      <c r="O21" s="200"/>
      <c r="P21" s="949"/>
      <c r="Q21" s="919"/>
    </row>
    <row r="22" spans="1:18" x14ac:dyDescent="0.2">
      <c r="A22" s="331"/>
      <c r="B22" s="331"/>
      <c r="C22" s="389"/>
      <c r="D22" s="389"/>
      <c r="E22" s="137"/>
      <c r="F22" s="137"/>
      <c r="G22" s="871"/>
      <c r="H22" s="871"/>
      <c r="I22" s="900"/>
      <c r="J22" s="948"/>
      <c r="K22" s="137"/>
      <c r="L22" s="137"/>
      <c r="M22" s="389"/>
      <c r="N22" s="137"/>
      <c r="O22" s="200"/>
      <c r="P22" s="949"/>
      <c r="Q22" s="919"/>
    </row>
    <row r="23" spans="1:18" x14ac:dyDescent="0.2">
      <c r="A23" s="331"/>
      <c r="B23" s="331"/>
      <c r="C23" s="389"/>
      <c r="D23" s="389"/>
      <c r="E23" s="137"/>
      <c r="F23" s="137"/>
      <c r="G23" s="871"/>
      <c r="H23" s="871"/>
      <c r="I23" s="900"/>
      <c r="J23" s="948"/>
      <c r="K23" s="137"/>
      <c r="L23" s="137"/>
      <c r="M23" s="389"/>
      <c r="N23" s="137"/>
      <c r="O23" s="200"/>
      <c r="P23" s="949"/>
      <c r="Q23" s="919"/>
    </row>
    <row r="24" spans="1:18" x14ac:dyDescent="0.2">
      <c r="A24" s="331"/>
      <c r="B24" s="331"/>
      <c r="C24" s="389"/>
      <c r="D24" s="389"/>
      <c r="E24" s="137"/>
      <c r="F24" s="137"/>
      <c r="G24" s="871"/>
      <c r="H24" s="871"/>
      <c r="I24" s="900"/>
      <c r="J24" s="948"/>
      <c r="K24" s="137"/>
      <c r="L24" s="137"/>
      <c r="M24" s="389"/>
      <c r="N24" s="137"/>
      <c r="O24" s="200"/>
      <c r="P24" s="949"/>
      <c r="Q24" s="919"/>
    </row>
    <row r="25" spans="1:18" x14ac:dyDescent="0.2">
      <c r="A25" s="331"/>
      <c r="B25" s="331"/>
      <c r="C25" s="389"/>
      <c r="D25" s="389"/>
      <c r="E25" s="409"/>
      <c r="F25" s="409"/>
      <c r="G25" s="856"/>
      <c r="H25" s="856"/>
      <c r="I25" s="857"/>
      <c r="J25" s="858"/>
      <c r="K25" s="409"/>
      <c r="L25" s="409"/>
      <c r="M25" s="389"/>
      <c r="N25" s="409"/>
      <c r="O25" s="433"/>
      <c r="P25" s="859"/>
      <c r="Q25" s="860"/>
    </row>
    <row r="26" spans="1:18" x14ac:dyDescent="0.2">
      <c r="A26" s="939"/>
      <c r="B26" s="939"/>
      <c r="C26" s="939"/>
      <c r="D26" s="869"/>
      <c r="E26" s="137"/>
      <c r="F26" s="907"/>
      <c r="G26" s="907"/>
      <c r="H26" s="907"/>
      <c r="I26" s="843"/>
      <c r="J26" s="861"/>
      <c r="K26" s="861"/>
      <c r="L26" s="861"/>
      <c r="M26" s="861"/>
      <c r="N26" s="861"/>
      <c r="O26" s="861"/>
      <c r="P26" s="861"/>
      <c r="Q26" s="909"/>
    </row>
    <row r="27" spans="1:18" x14ac:dyDescent="0.2">
      <c r="A27" s="950"/>
      <c r="B27" s="950"/>
      <c r="C27" s="939"/>
      <c r="D27" s="939"/>
      <c r="E27" s="409"/>
      <c r="F27" s="841"/>
      <c r="G27" s="842"/>
      <c r="H27" s="842"/>
      <c r="I27" s="848"/>
      <c r="J27" s="844"/>
      <c r="K27" s="841"/>
      <c r="L27" s="841"/>
      <c r="M27" s="861"/>
      <c r="N27" s="841"/>
      <c r="O27" s="841"/>
      <c r="P27" s="845"/>
      <c r="Q27" s="846"/>
    </row>
    <row r="28" spans="1:18" ht="13.5" thickBot="1" x14ac:dyDescent="0.25">
      <c r="A28" s="951"/>
      <c r="B28" s="951"/>
      <c r="C28" s="952"/>
      <c r="D28" s="953"/>
      <c r="E28" s="847"/>
      <c r="F28" s="108"/>
      <c r="G28" s="833"/>
      <c r="H28" s="862"/>
      <c r="I28" s="863"/>
      <c r="J28" s="864"/>
      <c r="K28" s="865"/>
      <c r="L28" s="865"/>
      <c r="M28" s="866"/>
      <c r="N28" s="865"/>
      <c r="O28" s="865"/>
      <c r="P28" s="845"/>
      <c r="Q28" s="867"/>
    </row>
    <row r="29" spans="1:18" ht="14.25" thickTop="1" thickBot="1" x14ac:dyDescent="0.25">
      <c r="A29" s="954" t="s">
        <v>598</v>
      </c>
      <c r="B29" s="942"/>
      <c r="C29" s="942"/>
      <c r="D29" s="955"/>
      <c r="E29" s="944"/>
      <c r="F29" s="956"/>
      <c r="G29" s="956"/>
      <c r="H29" s="946"/>
      <c r="I29" s="946">
        <f t="shared" ref="I29:O29" si="4">SUM(I17:I28)</f>
        <v>24540</v>
      </c>
      <c r="J29" s="957">
        <f t="shared" si="4"/>
        <v>4600</v>
      </c>
      <c r="K29" s="957">
        <f t="shared" si="4"/>
        <v>0</v>
      </c>
      <c r="L29" s="957">
        <f t="shared" si="4"/>
        <v>0</v>
      </c>
      <c r="M29" s="957">
        <f t="shared" si="4"/>
        <v>9720</v>
      </c>
      <c r="N29" s="957">
        <f t="shared" si="4"/>
        <v>125</v>
      </c>
      <c r="O29" s="957">
        <f t="shared" si="4"/>
        <v>0</v>
      </c>
      <c r="P29" s="958">
        <f>SUM(J29:O29)</f>
        <v>14445</v>
      </c>
      <c r="Q29" s="959">
        <f>I29-P29</f>
        <v>10095</v>
      </c>
      <c r="R29" s="960"/>
    </row>
    <row r="30" spans="1:18" ht="13.5" thickTop="1" x14ac:dyDescent="0.2">
      <c r="A30" s="937" t="s">
        <v>552</v>
      </c>
      <c r="B30" s="822"/>
      <c r="C30" s="849"/>
      <c r="D30" s="849"/>
      <c r="E30" s="824"/>
      <c r="F30" s="824"/>
      <c r="G30" s="826"/>
      <c r="H30" s="826"/>
      <c r="I30" s="850"/>
      <c r="J30" s="851"/>
      <c r="K30" s="824"/>
      <c r="L30" s="606"/>
      <c r="M30" s="868"/>
      <c r="N30" s="824"/>
      <c r="O30" s="824"/>
      <c r="P30" s="854"/>
      <c r="Q30" s="855"/>
    </row>
    <row r="31" spans="1:18" ht="15" x14ac:dyDescent="0.25">
      <c r="A31" s="939"/>
      <c r="B31" s="939"/>
      <c r="C31" s="939" t="s">
        <v>818</v>
      </c>
      <c r="D31" s="939"/>
      <c r="E31" s="409">
        <v>12</v>
      </c>
      <c r="F31" s="120">
        <v>199</v>
      </c>
      <c r="G31" s="1724"/>
      <c r="H31" s="856"/>
      <c r="I31" s="1792">
        <f>E31*F31</f>
        <v>2388</v>
      </c>
      <c r="J31" s="27">
        <v>0</v>
      </c>
      <c r="K31" s="409">
        <f t="shared" ref="K31:P31" si="5">SUM(J31)</f>
        <v>0</v>
      </c>
      <c r="L31" s="409">
        <f t="shared" si="5"/>
        <v>0</v>
      </c>
      <c r="M31" s="137">
        <f t="shared" si="5"/>
        <v>0</v>
      </c>
      <c r="N31" s="409">
        <f t="shared" si="5"/>
        <v>0</v>
      </c>
      <c r="O31" s="409">
        <f t="shared" si="5"/>
        <v>0</v>
      </c>
      <c r="P31" s="859">
        <f t="shared" si="5"/>
        <v>0</v>
      </c>
      <c r="Q31" s="1793">
        <f>I31-P31</f>
        <v>2388</v>
      </c>
    </row>
    <row r="32" spans="1:18" x14ac:dyDescent="0.2">
      <c r="A32" s="939"/>
      <c r="B32" s="939"/>
      <c r="C32" s="939" t="s">
        <v>819</v>
      </c>
      <c r="D32" s="869"/>
      <c r="E32" s="137">
        <v>6</v>
      </c>
      <c r="F32" s="842">
        <v>399</v>
      </c>
      <c r="G32" s="842"/>
      <c r="H32" s="842"/>
      <c r="I32" s="1792">
        <f t="shared" ref="I32:I34" si="6">E32*F32</f>
        <v>2394</v>
      </c>
      <c r="J32" s="870">
        <v>0</v>
      </c>
      <c r="K32" s="841"/>
      <c r="L32" s="841"/>
      <c r="M32" s="861"/>
      <c r="N32" s="841"/>
      <c r="O32" s="841"/>
      <c r="P32" s="845"/>
      <c r="Q32" s="1793">
        <f t="shared" ref="Q32:Q36" si="7">I32-P32</f>
        <v>2394</v>
      </c>
    </row>
    <row r="33" spans="1:17" x14ac:dyDescent="0.2">
      <c r="A33" s="939"/>
      <c r="B33" s="939"/>
      <c r="C33" s="939" t="s">
        <v>820</v>
      </c>
      <c r="D33" s="869"/>
      <c r="E33" s="137">
        <v>9</v>
      </c>
      <c r="F33" s="841">
        <v>525</v>
      </c>
      <c r="G33" s="842"/>
      <c r="H33" s="842"/>
      <c r="I33" s="1792">
        <f t="shared" si="6"/>
        <v>4725</v>
      </c>
      <c r="J33" s="870">
        <v>0</v>
      </c>
      <c r="K33" s="841"/>
      <c r="L33" s="841"/>
      <c r="M33" s="861"/>
      <c r="N33" s="841"/>
      <c r="O33" s="841"/>
      <c r="P33" s="845"/>
      <c r="Q33" s="1793">
        <f t="shared" si="7"/>
        <v>4725</v>
      </c>
    </row>
    <row r="34" spans="1:17" x14ac:dyDescent="0.2">
      <c r="A34" s="961"/>
      <c r="B34" s="961"/>
      <c r="C34" s="939" t="s">
        <v>821</v>
      </c>
      <c r="D34" s="939"/>
      <c r="E34" s="137">
        <v>1</v>
      </c>
      <c r="F34" s="861">
        <v>199</v>
      </c>
      <c r="G34" s="907"/>
      <c r="H34" s="842"/>
      <c r="I34" s="1792">
        <f t="shared" si="6"/>
        <v>199</v>
      </c>
      <c r="J34" s="963">
        <v>0</v>
      </c>
      <c r="K34" s="841"/>
      <c r="L34" s="841"/>
      <c r="M34" s="841"/>
      <c r="N34" s="841"/>
      <c r="O34" s="841"/>
      <c r="P34" s="845"/>
      <c r="Q34" s="1793">
        <f t="shared" si="7"/>
        <v>199</v>
      </c>
    </row>
    <row r="35" spans="1:17" ht="13.5" thickBot="1" x14ac:dyDescent="0.25">
      <c r="A35" s="939"/>
      <c r="B35" s="939"/>
      <c r="C35" s="964"/>
      <c r="D35" s="964"/>
      <c r="E35" s="847"/>
      <c r="F35" s="108"/>
      <c r="G35" s="833"/>
      <c r="H35" s="842"/>
      <c r="I35" s="848"/>
      <c r="J35" s="844"/>
      <c r="K35" s="841"/>
      <c r="L35" s="841"/>
      <c r="M35" s="841"/>
      <c r="N35" s="841"/>
      <c r="O35" s="841"/>
      <c r="P35" s="845"/>
      <c r="Q35" s="1793">
        <f t="shared" si="7"/>
        <v>0</v>
      </c>
    </row>
    <row r="36" spans="1:17" ht="14.25" thickTop="1" thickBot="1" x14ac:dyDescent="0.25">
      <c r="A36" s="942"/>
      <c r="B36" s="942"/>
      <c r="C36" s="942"/>
      <c r="D36" s="955"/>
      <c r="E36" s="944"/>
      <c r="F36" s="945"/>
      <c r="G36" s="956"/>
      <c r="H36" s="946"/>
      <c r="I36" s="946">
        <f>SUM(I31:I35)</f>
        <v>9706</v>
      </c>
      <c r="J36" s="957">
        <f>SUM(J31:J35)</f>
        <v>0</v>
      </c>
      <c r="K36" s="957">
        <f t="shared" ref="K36:P36" si="8">SUM(K31:K35)</f>
        <v>0</v>
      </c>
      <c r="L36" s="957">
        <f t="shared" si="8"/>
        <v>0</v>
      </c>
      <c r="M36" s="957">
        <f t="shared" si="8"/>
        <v>0</v>
      </c>
      <c r="N36" s="957">
        <f t="shared" si="8"/>
        <v>0</v>
      </c>
      <c r="O36" s="957">
        <f t="shared" si="8"/>
        <v>0</v>
      </c>
      <c r="P36" s="957">
        <f t="shared" si="8"/>
        <v>0</v>
      </c>
      <c r="Q36" s="1794">
        <f t="shared" si="7"/>
        <v>9706</v>
      </c>
    </row>
    <row r="37" spans="1:17" ht="13.5" thickTop="1" x14ac:dyDescent="0.2">
      <c r="A37" s="937" t="s">
        <v>599</v>
      </c>
      <c r="B37" s="822"/>
      <c r="C37" s="849"/>
      <c r="D37" s="849"/>
      <c r="E37" s="824"/>
      <c r="F37" s="824"/>
      <c r="G37" s="826"/>
      <c r="H37" s="826"/>
      <c r="I37" s="850"/>
      <c r="J37" s="851"/>
      <c r="K37" s="824"/>
      <c r="L37" s="606"/>
      <c r="M37" s="868"/>
      <c r="N37" s="824"/>
      <c r="O37" s="824"/>
      <c r="P37" s="854"/>
      <c r="Q37" s="855"/>
    </row>
    <row r="38" spans="1:17" ht="15" x14ac:dyDescent="0.25">
      <c r="A38" s="939"/>
      <c r="B38" s="939" t="s">
        <v>563</v>
      </c>
      <c r="C38" s="939"/>
      <c r="D38" s="939"/>
      <c r="E38" s="409"/>
      <c r="F38" s="1723"/>
      <c r="G38" s="1724"/>
      <c r="H38" s="856"/>
      <c r="I38" s="965">
        <f>600</f>
        <v>600</v>
      </c>
      <c r="J38" s="858"/>
      <c r="K38" s="409"/>
      <c r="L38" s="409"/>
      <c r="M38" s="137"/>
      <c r="N38" s="409"/>
      <c r="O38" s="409"/>
      <c r="P38" s="859">
        <f>0</f>
        <v>0</v>
      </c>
      <c r="Q38" s="966">
        <f t="shared" ref="Q38:Q43" si="9">I38-P38</f>
        <v>600</v>
      </c>
    </row>
    <row r="39" spans="1:17" x14ac:dyDescent="0.2">
      <c r="A39" s="939"/>
      <c r="B39" s="939" t="s">
        <v>567</v>
      </c>
      <c r="C39" s="939"/>
      <c r="D39" s="869"/>
      <c r="E39" s="137"/>
      <c r="F39" s="842"/>
      <c r="G39" s="842"/>
      <c r="H39" s="842"/>
      <c r="I39" s="848">
        <f>1400</f>
        <v>1400</v>
      </c>
      <c r="J39" s="870"/>
      <c r="K39" s="841"/>
      <c r="L39" s="841"/>
      <c r="M39" s="861"/>
      <c r="N39" s="841"/>
      <c r="O39" s="841"/>
      <c r="P39" s="845">
        <f>0</f>
        <v>0</v>
      </c>
      <c r="Q39" s="966">
        <f t="shared" si="9"/>
        <v>1400</v>
      </c>
    </row>
    <row r="40" spans="1:17" x14ac:dyDescent="0.2">
      <c r="A40" s="939"/>
      <c r="B40" s="939" t="s">
        <v>570</v>
      </c>
      <c r="C40" s="939"/>
      <c r="D40" s="869"/>
      <c r="E40" s="137"/>
      <c r="F40" s="841"/>
      <c r="G40" s="842"/>
      <c r="H40" s="842"/>
      <c r="I40" s="848">
        <v>1700</v>
      </c>
      <c r="J40" s="870"/>
      <c r="K40" s="841"/>
      <c r="L40" s="841"/>
      <c r="M40" s="861"/>
      <c r="N40" s="841"/>
      <c r="O40" s="841"/>
      <c r="P40" s="845">
        <f>0</f>
        <v>0</v>
      </c>
      <c r="Q40" s="966">
        <f t="shared" si="9"/>
        <v>1700</v>
      </c>
    </row>
    <row r="41" spans="1:17" x14ac:dyDescent="0.2">
      <c r="A41" s="961"/>
      <c r="B41" s="961"/>
      <c r="C41" s="939"/>
      <c r="D41" s="939"/>
      <c r="E41" s="137"/>
      <c r="F41" s="861"/>
      <c r="G41" s="907"/>
      <c r="H41" s="842"/>
      <c r="I41" s="962"/>
      <c r="J41" s="963"/>
      <c r="K41" s="841"/>
      <c r="L41" s="841"/>
      <c r="M41" s="841"/>
      <c r="N41" s="841"/>
      <c r="O41" s="841"/>
      <c r="P41" s="908">
        <f>0</f>
        <v>0</v>
      </c>
      <c r="Q41" s="966">
        <f t="shared" si="9"/>
        <v>0</v>
      </c>
    </row>
    <row r="42" spans="1:17" ht="13.5" thickBot="1" x14ac:dyDescent="0.25">
      <c r="A42" s="939"/>
      <c r="B42" s="939"/>
      <c r="C42" s="964"/>
      <c r="D42" s="964"/>
      <c r="E42" s="847"/>
      <c r="F42" s="108"/>
      <c r="G42" s="833"/>
      <c r="H42" s="842"/>
      <c r="I42" s="848"/>
      <c r="J42" s="844"/>
      <c r="K42" s="841"/>
      <c r="L42" s="841"/>
      <c r="M42" s="841"/>
      <c r="N42" s="841"/>
      <c r="O42" s="841"/>
      <c r="P42" s="845">
        <f>0</f>
        <v>0</v>
      </c>
      <c r="Q42" s="846">
        <f t="shared" si="9"/>
        <v>0</v>
      </c>
    </row>
    <row r="43" spans="1:17" ht="14.25" thickTop="1" thickBot="1" x14ac:dyDescent="0.25">
      <c r="A43" s="942"/>
      <c r="B43" s="942"/>
      <c r="C43" s="942"/>
      <c r="D43" s="955"/>
      <c r="E43" s="944"/>
      <c r="F43" s="945"/>
      <c r="G43" s="956"/>
      <c r="H43" s="946"/>
      <c r="I43" s="946">
        <f>SUM(I38:I42)</f>
        <v>3700</v>
      </c>
      <c r="J43" s="957"/>
      <c r="K43" s="957"/>
      <c r="L43" s="957"/>
      <c r="M43" s="957"/>
      <c r="N43" s="957"/>
      <c r="O43" s="957"/>
      <c r="P43" s="958">
        <f>SUM(P38:P42)</f>
        <v>0</v>
      </c>
      <c r="Q43" s="959">
        <f t="shared" si="9"/>
        <v>3700</v>
      </c>
    </row>
    <row r="44" spans="1:17" ht="13.5" thickTop="1" x14ac:dyDescent="0.2">
      <c r="A44" s="937" t="s">
        <v>600</v>
      </c>
      <c r="B44" s="822"/>
      <c r="C44" s="849"/>
      <c r="D44" s="849"/>
      <c r="E44" s="824"/>
      <c r="F44" s="824"/>
      <c r="G44" s="826"/>
      <c r="H44" s="826"/>
      <c r="I44" s="850"/>
      <c r="J44" s="851"/>
      <c r="K44" s="824"/>
      <c r="L44" s="606"/>
      <c r="M44" s="868"/>
      <c r="N44" s="824"/>
      <c r="O44" s="824"/>
      <c r="P44" s="854"/>
      <c r="Q44" s="855"/>
    </row>
    <row r="45" spans="1:17" s="1830" customFormat="1" ht="15" x14ac:dyDescent="0.25">
      <c r="A45" s="1821"/>
      <c r="B45" s="1821" t="s">
        <v>544</v>
      </c>
      <c r="C45" s="1821" t="s">
        <v>601</v>
      </c>
      <c r="D45" s="1821"/>
      <c r="E45" s="1817">
        <v>10</v>
      </c>
      <c r="F45" s="1822">
        <v>0</v>
      </c>
      <c r="G45" s="1823">
        <v>0</v>
      </c>
      <c r="H45" s="1824"/>
      <c r="I45" s="1825">
        <f>F45+G45+H45</f>
        <v>0</v>
      </c>
      <c r="J45" s="1826">
        <v>0</v>
      </c>
      <c r="K45" s="1827">
        <f>500</f>
        <v>500</v>
      </c>
      <c r="L45" s="1817"/>
      <c r="M45" s="467"/>
      <c r="N45" s="1817"/>
      <c r="O45" s="1817"/>
      <c r="P45" s="1828">
        <f>SUM(J45:O45)</f>
        <v>500</v>
      </c>
      <c r="Q45" s="1829">
        <f>I45-P45</f>
        <v>-500</v>
      </c>
    </row>
    <row r="46" spans="1:17" s="1830" customFormat="1" x14ac:dyDescent="0.2">
      <c r="A46" s="1821"/>
      <c r="B46" s="1821" t="s">
        <v>545</v>
      </c>
      <c r="C46" s="1821" t="s">
        <v>602</v>
      </c>
      <c r="D46" s="1831"/>
      <c r="E46" s="467">
        <v>10</v>
      </c>
      <c r="F46" s="1832">
        <v>0</v>
      </c>
      <c r="G46" s="1832">
        <v>0</v>
      </c>
      <c r="H46" s="1814"/>
      <c r="I46" s="1825">
        <f t="shared" ref="I46:I49" si="10">F46+G46+H46</f>
        <v>0</v>
      </c>
      <c r="J46" s="1833"/>
      <c r="K46" s="1834">
        <f>500</f>
        <v>500</v>
      </c>
      <c r="L46" s="1834"/>
      <c r="M46" s="1835"/>
      <c r="N46" s="1834"/>
      <c r="O46" s="1834"/>
      <c r="P46" s="1828">
        <f t="shared" ref="P46:P49" si="11">SUM(J46:O46)</f>
        <v>500</v>
      </c>
      <c r="Q46" s="1836">
        <f>I46-P46</f>
        <v>-500</v>
      </c>
    </row>
    <row r="47" spans="1:17" s="1830" customFormat="1" x14ac:dyDescent="0.2">
      <c r="A47" s="1821"/>
      <c r="B47" s="1821" t="s">
        <v>546</v>
      </c>
      <c r="C47" s="1821" t="s">
        <v>603</v>
      </c>
      <c r="D47" s="1831"/>
      <c r="E47" s="467">
        <v>10</v>
      </c>
      <c r="F47" s="1837">
        <v>0</v>
      </c>
      <c r="G47" s="1832">
        <v>0</v>
      </c>
      <c r="H47" s="1814"/>
      <c r="I47" s="1825">
        <f t="shared" si="10"/>
        <v>0</v>
      </c>
      <c r="J47" s="1833"/>
      <c r="K47" s="1834">
        <f>500</f>
        <v>500</v>
      </c>
      <c r="L47" s="1834"/>
      <c r="M47" s="1835"/>
      <c r="N47" s="1834"/>
      <c r="O47" s="1834"/>
      <c r="P47" s="1828">
        <f t="shared" si="11"/>
        <v>500</v>
      </c>
      <c r="Q47" s="1836">
        <f>I47-P47</f>
        <v>-500</v>
      </c>
    </row>
    <row r="48" spans="1:17" x14ac:dyDescent="0.2">
      <c r="A48" s="961"/>
      <c r="B48" s="939" t="s">
        <v>585</v>
      </c>
      <c r="C48" s="939" t="s">
        <v>604</v>
      </c>
      <c r="D48" s="939"/>
      <c r="E48" s="137"/>
      <c r="F48" s="861"/>
      <c r="G48" s="907"/>
      <c r="H48" s="842"/>
      <c r="I48" s="857">
        <f t="shared" si="10"/>
        <v>0</v>
      </c>
      <c r="J48" s="963"/>
      <c r="K48" s="841"/>
      <c r="L48" s="841"/>
      <c r="M48" s="841">
        <v>250</v>
      </c>
      <c r="N48" s="841"/>
      <c r="O48" s="841"/>
      <c r="P48" s="967">
        <f t="shared" si="11"/>
        <v>250</v>
      </c>
      <c r="Q48" s="846">
        <f>I48-P48</f>
        <v>-250</v>
      </c>
    </row>
    <row r="49" spans="1:17" ht="13.5" thickBot="1" x14ac:dyDescent="0.25">
      <c r="A49" s="939"/>
      <c r="B49" s="939" t="s">
        <v>547</v>
      </c>
      <c r="C49" s="939" t="s">
        <v>836</v>
      </c>
      <c r="D49" s="964"/>
      <c r="E49" s="847"/>
      <c r="F49" s="108"/>
      <c r="G49" s="833"/>
      <c r="H49" s="842"/>
      <c r="I49" s="857">
        <f t="shared" si="10"/>
        <v>0</v>
      </c>
      <c r="J49" s="844"/>
      <c r="K49" s="10">
        <v>3250</v>
      </c>
      <c r="L49" s="841"/>
      <c r="M49" s="841"/>
      <c r="N49" s="841"/>
      <c r="O49" s="841"/>
      <c r="P49" s="967">
        <f t="shared" si="11"/>
        <v>3250</v>
      </c>
      <c r="Q49" s="846">
        <f>I49-P49</f>
        <v>-3250</v>
      </c>
    </row>
    <row r="50" spans="1:17" ht="14.25" thickTop="1" thickBot="1" x14ac:dyDescent="0.25">
      <c r="A50" s="942"/>
      <c r="B50" s="942"/>
      <c r="C50" s="942"/>
      <c r="D50" s="955"/>
      <c r="E50" s="944"/>
      <c r="F50" s="945"/>
      <c r="G50" s="956"/>
      <c r="H50" s="946"/>
      <c r="I50" s="946">
        <f>SUM(I45:I49)</f>
        <v>0</v>
      </c>
      <c r="J50" s="957">
        <f>SUM(J45:J49)</f>
        <v>0</v>
      </c>
      <c r="K50" s="957">
        <f t="shared" ref="K50:O50" si="12">SUM(K45:K49)</f>
        <v>4750</v>
      </c>
      <c r="L50" s="957">
        <f t="shared" si="12"/>
        <v>0</v>
      </c>
      <c r="M50" s="957">
        <f t="shared" si="12"/>
        <v>250</v>
      </c>
      <c r="N50" s="957">
        <f t="shared" si="12"/>
        <v>0</v>
      </c>
      <c r="O50" s="957">
        <f t="shared" si="12"/>
        <v>0</v>
      </c>
      <c r="P50" s="958">
        <f>SUM(P45:P49)</f>
        <v>5000</v>
      </c>
      <c r="Q50" s="959">
        <f t="shared" ref="Q50" si="13">I50-P50</f>
        <v>-5000</v>
      </c>
    </row>
    <row r="51" spans="1:17" ht="13.5" thickTop="1" x14ac:dyDescent="0.2">
      <c r="A51" s="937" t="s">
        <v>605</v>
      </c>
      <c r="B51" s="822"/>
      <c r="C51" s="849"/>
      <c r="D51" s="849"/>
      <c r="E51" s="824"/>
      <c r="F51" s="824"/>
      <c r="G51" s="826"/>
      <c r="H51" s="826"/>
      <c r="I51" s="850"/>
      <c r="J51" s="851"/>
      <c r="K51" s="824"/>
      <c r="L51" s="606"/>
      <c r="M51" s="868"/>
      <c r="N51" s="824"/>
      <c r="O51" s="824"/>
      <c r="P51" s="854"/>
      <c r="Q51" s="855"/>
    </row>
    <row r="52" spans="1:17" s="809" customFormat="1" x14ac:dyDescent="0.2">
      <c r="A52" s="1811"/>
      <c r="B52" s="1811" t="s">
        <v>543</v>
      </c>
      <c r="C52" s="1812" t="s">
        <v>554</v>
      </c>
      <c r="D52" s="467">
        <v>200</v>
      </c>
      <c r="E52" s="1813">
        <v>200</v>
      </c>
      <c r="F52" s="1814">
        <f>200</f>
        <v>200</v>
      </c>
      <c r="G52" s="1815"/>
      <c r="H52" s="1816">
        <v>500</v>
      </c>
      <c r="I52" s="1817">
        <f>E52*F52+H52</f>
        <v>40500</v>
      </c>
      <c r="J52" s="467">
        <v>3000</v>
      </c>
      <c r="K52" s="467">
        <f>(E52*55)+500</f>
        <v>11500</v>
      </c>
      <c r="L52" s="467">
        <v>0</v>
      </c>
      <c r="M52" s="467">
        <f>E52*9</f>
        <v>1800</v>
      </c>
      <c r="N52" s="1818"/>
      <c r="O52" s="467">
        <f>2200+750</f>
        <v>2950</v>
      </c>
      <c r="P52" s="1819">
        <f>SUM(J52:O52)</f>
        <v>19250</v>
      </c>
      <c r="Q52" s="1820">
        <f>I52-P52</f>
        <v>21250</v>
      </c>
    </row>
    <row r="53" spans="1:17" s="809" customFormat="1" ht="13.5" thickBot="1" x14ac:dyDescent="0.25">
      <c r="A53" s="1811"/>
      <c r="B53" s="1811" t="s">
        <v>556</v>
      </c>
      <c r="C53" s="1812" t="s">
        <v>554</v>
      </c>
      <c r="D53" s="467">
        <v>180</v>
      </c>
      <c r="E53" s="1813">
        <v>175</v>
      </c>
      <c r="F53" s="1814">
        <f>200</f>
        <v>200</v>
      </c>
      <c r="G53" s="1815"/>
      <c r="H53" s="1816">
        <v>500</v>
      </c>
      <c r="I53" s="1817">
        <f>E53*F53+H53</f>
        <v>35500</v>
      </c>
      <c r="J53" s="467">
        <v>3000</v>
      </c>
      <c r="K53" s="467">
        <f>(E53*55)+500</f>
        <v>10125</v>
      </c>
      <c r="L53" s="467">
        <v>0</v>
      </c>
      <c r="M53" s="467">
        <f>E53*9</f>
        <v>1575</v>
      </c>
      <c r="N53" s="1818"/>
      <c r="O53" s="467">
        <f>2200+750</f>
        <v>2950</v>
      </c>
      <c r="P53" s="1819">
        <f>SUM(J53:O53)</f>
        <v>17650</v>
      </c>
      <c r="Q53" s="1820">
        <f>I53-P53</f>
        <v>17850</v>
      </c>
    </row>
    <row r="54" spans="1:17" ht="13.5" hidden="1" thickBot="1" x14ac:dyDescent="0.25">
      <c r="A54" s="968"/>
      <c r="B54" s="968"/>
      <c r="C54" s="588"/>
      <c r="D54" s="588"/>
      <c r="E54" s="200"/>
      <c r="F54" s="200"/>
      <c r="G54" s="969"/>
      <c r="H54" s="969"/>
      <c r="I54" s="970"/>
      <c r="J54" s="971"/>
      <c r="K54" s="200"/>
      <c r="L54" s="588"/>
      <c r="M54" s="972"/>
      <c r="N54" s="200"/>
      <c r="O54" s="200"/>
      <c r="P54" s="973"/>
      <c r="Q54" s="974"/>
    </row>
    <row r="55" spans="1:17" ht="13.5" hidden="1" thickBot="1" x14ac:dyDescent="0.25">
      <c r="A55" s="331"/>
      <c r="B55" s="331"/>
      <c r="C55" s="389"/>
      <c r="D55" s="389"/>
      <c r="E55" s="137"/>
      <c r="F55" s="137"/>
      <c r="G55" s="871"/>
      <c r="H55" s="856"/>
      <c r="I55" s="857"/>
      <c r="J55" s="858"/>
      <c r="K55" s="409"/>
      <c r="L55" s="346"/>
      <c r="M55" s="872"/>
      <c r="N55" s="409"/>
      <c r="O55" s="409"/>
      <c r="P55" s="859"/>
      <c r="Q55" s="860"/>
    </row>
    <row r="56" spans="1:17" ht="13.5" hidden="1" thickBot="1" x14ac:dyDescent="0.25">
      <c r="A56" s="939"/>
      <c r="B56" s="939"/>
      <c r="C56" s="939"/>
      <c r="D56" s="939"/>
      <c r="E56" s="137"/>
      <c r="F56" s="873"/>
      <c r="G56" s="874"/>
      <c r="H56" s="856"/>
      <c r="I56" s="857"/>
      <c r="J56" s="858"/>
      <c r="K56" s="409"/>
      <c r="L56" s="409"/>
      <c r="M56" s="409"/>
      <c r="N56" s="409"/>
      <c r="O56" s="409"/>
      <c r="P56" s="859"/>
      <c r="Q56" s="860"/>
    </row>
    <row r="57" spans="1:17" ht="13.5" hidden="1" thickBot="1" x14ac:dyDescent="0.25">
      <c r="A57" s="939"/>
      <c r="B57" s="939"/>
      <c r="C57" s="939"/>
      <c r="D57" s="939"/>
      <c r="E57" s="137"/>
      <c r="F57" s="137"/>
      <c r="G57" s="871"/>
      <c r="H57" s="856"/>
      <c r="I57" s="857"/>
      <c r="J57" s="858"/>
      <c r="K57" s="409"/>
      <c r="L57" s="409"/>
      <c r="M57" s="409"/>
      <c r="N57" s="409"/>
      <c r="O57" s="409"/>
      <c r="P57" s="859"/>
      <c r="Q57" s="860"/>
    </row>
    <row r="58" spans="1:17" ht="13.5" hidden="1" thickBot="1" x14ac:dyDescent="0.25">
      <c r="A58" s="939"/>
      <c r="B58" s="939"/>
      <c r="C58" s="939"/>
      <c r="D58" s="939"/>
      <c r="E58" s="137"/>
      <c r="F58" s="137"/>
      <c r="G58" s="871"/>
      <c r="H58" s="856"/>
      <c r="I58" s="857"/>
      <c r="J58" s="858"/>
      <c r="K58" s="409"/>
      <c r="L58" s="409"/>
      <c r="M58" s="409"/>
      <c r="N58" s="409"/>
      <c r="O58" s="409"/>
      <c r="P58" s="859"/>
      <c r="Q58" s="860"/>
    </row>
    <row r="59" spans="1:17" ht="13.5" hidden="1" thickBot="1" x14ac:dyDescent="0.25">
      <c r="A59" s="939"/>
      <c r="B59" s="939"/>
      <c r="C59" s="939"/>
      <c r="D59" s="939"/>
      <c r="E59" s="137"/>
      <c r="F59" s="137"/>
      <c r="G59" s="871"/>
      <c r="H59" s="856"/>
      <c r="I59" s="857"/>
      <c r="J59" s="858"/>
      <c r="K59" s="409"/>
      <c r="L59" s="409"/>
      <c r="M59" s="409"/>
      <c r="N59" s="409"/>
      <c r="O59" s="409"/>
      <c r="P59" s="859"/>
      <c r="Q59" s="860"/>
    </row>
    <row r="60" spans="1:17" ht="13.5" hidden="1" thickBot="1" x14ac:dyDescent="0.25">
      <c r="A60" s="975"/>
      <c r="B60" s="975"/>
      <c r="C60" s="976"/>
      <c r="D60" s="976"/>
      <c r="E60" s="235"/>
      <c r="F60" s="235"/>
      <c r="G60" s="875"/>
      <c r="H60" s="876"/>
      <c r="I60" s="877"/>
      <c r="J60" s="878"/>
      <c r="K60" s="879"/>
      <c r="L60" s="879"/>
      <c r="M60" s="879"/>
      <c r="N60" s="879"/>
      <c r="O60" s="879"/>
      <c r="P60" s="859"/>
      <c r="Q60" s="860"/>
    </row>
    <row r="61" spans="1:17" ht="13.5" hidden="1" thickBot="1" x14ac:dyDescent="0.25">
      <c r="C61" s="953"/>
      <c r="D61" s="953"/>
      <c r="E61" s="235"/>
      <c r="F61" s="235"/>
      <c r="G61" s="875"/>
      <c r="H61" s="876"/>
      <c r="I61" s="877"/>
      <c r="J61" s="878"/>
      <c r="K61" s="879"/>
      <c r="L61" s="879"/>
      <c r="M61" s="879"/>
      <c r="N61" s="879"/>
      <c r="O61" s="879"/>
      <c r="P61" s="880"/>
      <c r="Q61" s="860"/>
    </row>
    <row r="62" spans="1:17" ht="13.5" hidden="1" thickBot="1" x14ac:dyDescent="0.25">
      <c r="A62" s="961"/>
      <c r="B62" s="961"/>
      <c r="C62" s="939"/>
      <c r="D62" s="939"/>
      <c r="E62" s="409"/>
      <c r="F62" s="409"/>
      <c r="G62" s="856"/>
      <c r="H62" s="856"/>
      <c r="I62" s="857"/>
      <c r="J62" s="878"/>
      <c r="K62" s="879"/>
      <c r="L62" s="409"/>
      <c r="M62" s="409"/>
      <c r="N62" s="409"/>
      <c r="O62" s="409"/>
      <c r="P62" s="880"/>
      <c r="Q62" s="860"/>
    </row>
    <row r="63" spans="1:17" ht="13.5" hidden="1" thickBot="1" x14ac:dyDescent="0.25">
      <c r="A63" s="939"/>
      <c r="B63" s="977"/>
      <c r="C63" s="977"/>
      <c r="D63" s="977"/>
      <c r="E63" s="847"/>
      <c r="F63" s="108"/>
      <c r="G63" s="874"/>
      <c r="H63" s="883"/>
      <c r="I63" s="877"/>
      <c r="J63" s="878"/>
      <c r="K63" s="879"/>
      <c r="L63" s="433"/>
      <c r="M63" s="433"/>
      <c r="N63" s="433"/>
      <c r="O63" s="433"/>
      <c r="P63" s="880"/>
      <c r="Q63" s="884"/>
    </row>
    <row r="64" spans="1:17" ht="14.25" hidden="1" thickTop="1" thickBot="1" x14ac:dyDescent="0.25">
      <c r="A64" s="978"/>
      <c r="B64" s="978"/>
      <c r="C64" s="978"/>
      <c r="D64" s="978"/>
      <c r="E64" s="885"/>
      <c r="F64" s="885"/>
      <c r="G64" s="886"/>
      <c r="H64" s="886"/>
      <c r="I64" s="887"/>
      <c r="J64" s="888"/>
      <c r="K64" s="888"/>
      <c r="L64" s="888"/>
      <c r="M64" s="888"/>
      <c r="N64" s="888"/>
      <c r="O64" s="888"/>
      <c r="P64" s="889"/>
      <c r="Q64" s="890"/>
    </row>
    <row r="65" spans="1:17" ht="13.5" hidden="1" thickBot="1" x14ac:dyDescent="0.25">
      <c r="A65" s="331"/>
      <c r="B65" s="331"/>
      <c r="C65" s="389"/>
      <c r="D65" s="389"/>
      <c r="E65" s="137"/>
      <c r="F65" s="137"/>
      <c r="G65" s="871"/>
      <c r="H65" s="871"/>
      <c r="I65" s="900"/>
      <c r="J65" s="948"/>
      <c r="K65" s="137"/>
      <c r="L65" s="137"/>
      <c r="M65" s="108"/>
      <c r="N65" s="137"/>
      <c r="O65" s="137"/>
      <c r="P65" s="949"/>
      <c r="Q65" s="919"/>
    </row>
    <row r="66" spans="1:17" ht="13.5" hidden="1" thickBot="1" x14ac:dyDescent="0.25">
      <c r="A66" s="939"/>
      <c r="B66" s="939"/>
      <c r="C66" s="939"/>
      <c r="D66" s="939"/>
      <c r="E66" s="137"/>
      <c r="F66" s="137"/>
      <c r="G66" s="871"/>
      <c r="H66" s="856"/>
      <c r="I66" s="857"/>
      <c r="J66" s="858"/>
      <c r="K66" s="409"/>
      <c r="L66" s="409"/>
      <c r="M66" s="409"/>
      <c r="N66" s="409"/>
      <c r="O66" s="409"/>
      <c r="P66" s="859"/>
      <c r="Q66" s="860"/>
    </row>
    <row r="67" spans="1:17" ht="13.5" hidden="1" thickBot="1" x14ac:dyDescent="0.25">
      <c r="A67" s="939"/>
      <c r="B67" s="939"/>
      <c r="C67" s="939"/>
      <c r="D67" s="939"/>
      <c r="E67" s="137"/>
      <c r="F67" s="137"/>
      <c r="G67" s="871"/>
      <c r="H67" s="856"/>
      <c r="I67" s="857"/>
      <c r="J67" s="858"/>
      <c r="K67" s="409"/>
      <c r="L67" s="409"/>
      <c r="M67" s="409"/>
      <c r="N67" s="409"/>
      <c r="O67" s="409"/>
      <c r="P67" s="859"/>
      <c r="Q67" s="860"/>
    </row>
    <row r="68" spans="1:17" ht="13.5" hidden="1" thickBot="1" x14ac:dyDescent="0.25">
      <c r="A68" s="939"/>
      <c r="B68" s="939"/>
      <c r="C68" s="939"/>
      <c r="D68" s="939"/>
      <c r="E68" s="137"/>
      <c r="F68" s="137"/>
      <c r="G68" s="871"/>
      <c r="H68" s="856"/>
      <c r="I68" s="857"/>
      <c r="J68" s="858"/>
      <c r="K68" s="409"/>
      <c r="L68" s="409"/>
      <c r="M68" s="409"/>
      <c r="N68" s="409"/>
      <c r="O68" s="409"/>
      <c r="P68" s="859"/>
      <c r="Q68" s="860"/>
    </row>
    <row r="69" spans="1:17" ht="13.5" hidden="1" thickBot="1" x14ac:dyDescent="0.25">
      <c r="A69" s="939"/>
      <c r="B69" s="939"/>
      <c r="C69" s="979"/>
      <c r="D69" s="979"/>
      <c r="E69" s="137"/>
      <c r="F69" s="137"/>
      <c r="G69" s="871"/>
      <c r="H69" s="856"/>
      <c r="I69" s="857"/>
      <c r="J69" s="858"/>
      <c r="K69" s="409"/>
      <c r="L69" s="409"/>
      <c r="M69" s="409"/>
      <c r="N69" s="409"/>
      <c r="O69" s="409"/>
      <c r="P69" s="859"/>
      <c r="Q69" s="860"/>
    </row>
    <row r="70" spans="1:17" ht="13.5" hidden="1" thickBot="1" x14ac:dyDescent="0.25">
      <c r="A70" s="939"/>
      <c r="B70" s="939"/>
      <c r="C70" s="939"/>
      <c r="D70" s="939"/>
      <c r="E70" s="137"/>
      <c r="F70" s="137"/>
      <c r="G70" s="871"/>
      <c r="H70" s="856"/>
      <c r="I70" s="857"/>
      <c r="J70" s="858"/>
      <c r="K70" s="409"/>
      <c r="L70" s="409"/>
      <c r="M70" s="409"/>
      <c r="N70" s="409"/>
      <c r="O70" s="409"/>
      <c r="P70" s="859"/>
      <c r="Q70" s="860"/>
    </row>
    <row r="71" spans="1:17" ht="13.5" hidden="1" thickBot="1" x14ac:dyDescent="0.25">
      <c r="A71" s="961"/>
      <c r="B71" s="961"/>
      <c r="C71" s="939"/>
      <c r="D71" s="939"/>
      <c r="E71" s="137"/>
      <c r="F71" s="137"/>
      <c r="G71" s="871"/>
      <c r="H71" s="856"/>
      <c r="I71" s="857"/>
      <c r="J71" s="858"/>
      <c r="K71" s="409"/>
      <c r="L71" s="409"/>
      <c r="M71" s="409"/>
      <c r="N71" s="409"/>
      <c r="O71" s="409"/>
      <c r="P71" s="859"/>
      <c r="Q71" s="860"/>
    </row>
    <row r="72" spans="1:17" ht="13.5" hidden="1" thickBot="1" x14ac:dyDescent="0.25">
      <c r="A72" s="346"/>
      <c r="B72" s="346"/>
      <c r="C72" s="952"/>
      <c r="D72" s="953"/>
      <c r="E72" s="847"/>
      <c r="F72" s="108"/>
      <c r="G72" s="874"/>
      <c r="H72" s="891"/>
      <c r="I72" s="892"/>
      <c r="J72" s="893"/>
      <c r="K72" s="421"/>
      <c r="L72" s="421"/>
      <c r="M72" s="421"/>
      <c r="N72" s="421"/>
      <c r="O72" s="421"/>
      <c r="P72" s="892"/>
      <c r="Q72" s="860"/>
    </row>
    <row r="73" spans="1:17" ht="14.25" hidden="1" thickTop="1" thickBot="1" x14ac:dyDescent="0.25">
      <c r="A73" s="978"/>
      <c r="B73" s="978"/>
      <c r="C73" s="978"/>
      <c r="D73" s="978"/>
      <c r="E73" s="885"/>
      <c r="F73" s="885"/>
      <c r="G73" s="886"/>
      <c r="H73" s="886"/>
      <c r="I73" s="887"/>
      <c r="J73" s="888"/>
      <c r="K73" s="888"/>
      <c r="L73" s="888"/>
      <c r="M73" s="888"/>
      <c r="N73" s="888"/>
      <c r="O73" s="888"/>
      <c r="P73" s="894"/>
      <c r="Q73" s="895"/>
    </row>
    <row r="74" spans="1:17" ht="13.5" hidden="1" thickBot="1" x14ac:dyDescent="0.25">
      <c r="A74" s="331"/>
      <c r="B74" s="331"/>
      <c r="C74" s="389"/>
      <c r="D74" s="389"/>
      <c r="E74" s="137"/>
      <c r="F74" s="137"/>
      <c r="G74" s="871"/>
      <c r="H74" s="871"/>
      <c r="I74" s="900"/>
      <c r="J74" s="948"/>
      <c r="K74" s="137"/>
      <c r="L74" s="346"/>
      <c r="M74" s="980"/>
      <c r="N74" s="137"/>
      <c r="O74" s="137"/>
      <c r="P74" s="949"/>
      <c r="Q74" s="919"/>
    </row>
    <row r="75" spans="1:17" ht="13.5" hidden="1" thickBot="1" x14ac:dyDescent="0.25">
      <c r="A75" s="939"/>
      <c r="B75" s="939"/>
      <c r="C75" s="939"/>
      <c r="D75" s="939"/>
      <c r="E75" s="409"/>
      <c r="F75" s="896"/>
      <c r="G75" s="897"/>
      <c r="H75" s="856"/>
      <c r="I75" s="857"/>
      <c r="J75" s="858"/>
      <c r="K75" s="409"/>
      <c r="L75" s="409"/>
      <c r="M75" s="409"/>
      <c r="N75" s="409"/>
      <c r="O75" s="409"/>
      <c r="P75" s="859"/>
      <c r="Q75" s="860"/>
    </row>
    <row r="76" spans="1:17" ht="13.5" hidden="1" thickBot="1" x14ac:dyDescent="0.25">
      <c r="A76" s="939"/>
      <c r="B76" s="939"/>
      <c r="C76" s="939"/>
      <c r="D76" s="939"/>
      <c r="E76" s="409"/>
      <c r="F76" s="409"/>
      <c r="G76" s="856"/>
      <c r="H76" s="856"/>
      <c r="I76" s="857"/>
      <c r="J76" s="858"/>
      <c r="K76" s="409"/>
      <c r="L76" s="409"/>
      <c r="M76" s="409"/>
      <c r="N76" s="409"/>
      <c r="O76" s="409"/>
      <c r="P76" s="859"/>
      <c r="Q76" s="860"/>
    </row>
    <row r="77" spans="1:17" ht="13.5" hidden="1" thickBot="1" x14ac:dyDescent="0.25">
      <c r="A77" s="898"/>
      <c r="B77" s="898"/>
      <c r="C77" s="939"/>
      <c r="D77" s="939"/>
      <c r="E77" s="137"/>
      <c r="F77" s="137"/>
      <c r="G77" s="856"/>
      <c r="H77" s="856"/>
      <c r="I77" s="857"/>
      <c r="J77" s="858"/>
      <c r="K77" s="409"/>
      <c r="L77" s="409"/>
      <c r="M77" s="409"/>
      <c r="N77" s="409"/>
      <c r="O77" s="409"/>
      <c r="P77" s="859"/>
      <c r="Q77" s="860"/>
    </row>
    <row r="78" spans="1:17" ht="13.5" hidden="1" thickBot="1" x14ac:dyDescent="0.25">
      <c r="A78" s="898"/>
      <c r="B78" s="898"/>
      <c r="C78" s="979"/>
      <c r="D78" s="979"/>
      <c r="E78" s="137"/>
      <c r="F78" s="137"/>
      <c r="G78" s="856"/>
      <c r="H78" s="856"/>
      <c r="I78" s="857"/>
      <c r="J78" s="858"/>
      <c r="K78" s="409"/>
      <c r="L78" s="409"/>
      <c r="M78" s="409"/>
      <c r="N78" s="409"/>
      <c r="O78" s="409"/>
      <c r="P78" s="859"/>
      <c r="Q78" s="860"/>
    </row>
    <row r="79" spans="1:17" ht="13.5" hidden="1" thickBot="1" x14ac:dyDescent="0.25">
      <c r="A79" s="898"/>
      <c r="B79" s="898"/>
      <c r="C79" s="939"/>
      <c r="D79" s="939"/>
      <c r="E79" s="137"/>
      <c r="F79" s="137"/>
      <c r="G79" s="856"/>
      <c r="H79" s="856"/>
      <c r="I79" s="857"/>
      <c r="J79" s="858"/>
      <c r="K79" s="409"/>
      <c r="L79" s="409"/>
      <c r="M79" s="409"/>
      <c r="N79" s="409"/>
      <c r="O79" s="409"/>
      <c r="P79" s="859"/>
      <c r="Q79" s="860"/>
    </row>
    <row r="80" spans="1:17" ht="13.5" hidden="1" thickBot="1" x14ac:dyDescent="0.25">
      <c r="A80" s="961"/>
      <c r="B80" s="961"/>
      <c r="C80" s="964"/>
      <c r="D80" s="964"/>
      <c r="E80" s="409"/>
      <c r="F80" s="409"/>
      <c r="G80" s="856"/>
      <c r="H80" s="856"/>
      <c r="I80" s="857"/>
      <c r="J80" s="858"/>
      <c r="K80" s="409"/>
      <c r="L80" s="409"/>
      <c r="M80" s="409"/>
      <c r="N80" s="409"/>
      <c r="O80" s="409"/>
      <c r="P80" s="859"/>
      <c r="Q80" s="860"/>
    </row>
    <row r="81" spans="1:17" ht="13.5" hidden="1" thickBot="1" x14ac:dyDescent="0.25">
      <c r="A81" s="346"/>
      <c r="B81" s="346"/>
      <c r="C81" s="964"/>
      <c r="D81" s="964"/>
      <c r="E81" s="847"/>
      <c r="F81" s="108"/>
      <c r="G81" s="874"/>
      <c r="H81" s="856"/>
      <c r="I81" s="857"/>
      <c r="J81" s="858"/>
      <c r="K81" s="409"/>
      <c r="L81" s="409"/>
      <c r="M81" s="409"/>
      <c r="N81" s="409"/>
      <c r="O81" s="409"/>
      <c r="P81" s="859"/>
      <c r="Q81" s="860"/>
    </row>
    <row r="82" spans="1:17" ht="14.25" hidden="1" thickTop="1" thickBot="1" x14ac:dyDescent="0.25">
      <c r="A82" s="978"/>
      <c r="B82" s="978"/>
      <c r="C82" s="978"/>
      <c r="D82" s="978"/>
      <c r="E82" s="885"/>
      <c r="F82" s="885"/>
      <c r="G82" s="886"/>
      <c r="H82" s="886"/>
      <c r="I82" s="887"/>
      <c r="J82" s="888"/>
      <c r="K82" s="888"/>
      <c r="L82" s="888"/>
      <c r="M82" s="888"/>
      <c r="N82" s="888"/>
      <c r="O82" s="888"/>
      <c r="P82" s="889"/>
      <c r="Q82" s="890"/>
    </row>
    <row r="83" spans="1:17" ht="16.5" thickTop="1" thickBot="1" x14ac:dyDescent="0.3">
      <c r="A83" s="942" t="s">
        <v>606</v>
      </c>
      <c r="B83" s="978"/>
      <c r="C83" s="978"/>
      <c r="D83" s="978"/>
      <c r="E83" s="885"/>
      <c r="F83" s="885"/>
      <c r="G83" s="886"/>
      <c r="H83" s="899"/>
      <c r="I83" s="1787">
        <f>SUM(I52:I82)</f>
        <v>76000</v>
      </c>
      <c r="J83" s="1791">
        <f>SUM(J52:J82)</f>
        <v>6000</v>
      </c>
      <c r="K83" s="1791">
        <f t="shared" ref="K83:O83" si="14">SUM(K52:K82)</f>
        <v>21625</v>
      </c>
      <c r="L83" s="1791">
        <f t="shared" si="14"/>
        <v>0</v>
      </c>
      <c r="M83" s="1791">
        <f t="shared" si="14"/>
        <v>3375</v>
      </c>
      <c r="N83" s="1791">
        <f t="shared" si="14"/>
        <v>0</v>
      </c>
      <c r="O83" s="1791">
        <f t="shared" si="14"/>
        <v>5900</v>
      </c>
      <c r="P83" s="1787">
        <f>SUM(P52:P82)</f>
        <v>36900</v>
      </c>
      <c r="Q83" s="1786">
        <f>SUM(Q52:Q82)</f>
        <v>39100</v>
      </c>
    </row>
    <row r="84" spans="1:17" ht="13.5" hidden="1" thickTop="1" x14ac:dyDescent="0.2">
      <c r="A84" s="331"/>
      <c r="B84" s="331"/>
      <c r="C84" s="389"/>
      <c r="D84" s="389"/>
      <c r="E84" s="824"/>
      <c r="F84" s="824"/>
      <c r="G84" s="826"/>
      <c r="H84" s="826"/>
      <c r="I84" s="850"/>
      <c r="J84" s="851"/>
      <c r="K84" s="824"/>
      <c r="L84" s="824"/>
      <c r="M84" s="825"/>
      <c r="N84" s="824"/>
      <c r="O84" s="824"/>
      <c r="P84" s="854"/>
      <c r="Q84" s="855"/>
    </row>
    <row r="85" spans="1:17" ht="13.5" hidden="1" thickTop="1" x14ac:dyDescent="0.2">
      <c r="A85" s="331"/>
      <c r="B85" s="331"/>
      <c r="C85" s="389"/>
      <c r="D85" s="389"/>
      <c r="E85" s="137"/>
      <c r="F85" s="137"/>
      <c r="G85" s="871"/>
      <c r="H85" s="871"/>
      <c r="I85" s="900"/>
      <c r="J85" s="858"/>
      <c r="K85" s="409"/>
      <c r="L85" s="409"/>
      <c r="M85" s="522"/>
      <c r="N85" s="409"/>
      <c r="O85" s="409"/>
      <c r="P85" s="859"/>
      <c r="Q85" s="860"/>
    </row>
    <row r="86" spans="1:17" ht="13.5" hidden="1" thickTop="1" x14ac:dyDescent="0.2">
      <c r="A86" s="939"/>
      <c r="B86" s="939"/>
      <c r="C86" s="964"/>
      <c r="D86" s="964"/>
      <c r="E86" s="137"/>
      <c r="F86" s="137"/>
      <c r="G86" s="871"/>
      <c r="H86" s="871"/>
      <c r="I86" s="900"/>
      <c r="J86" s="858"/>
      <c r="K86" s="409"/>
      <c r="L86" s="409"/>
      <c r="M86" s="409"/>
      <c r="N86" s="409"/>
      <c r="O86" s="409"/>
      <c r="P86" s="859"/>
      <c r="Q86" s="860"/>
    </row>
    <row r="87" spans="1:17" ht="13.5" hidden="1" thickTop="1" x14ac:dyDescent="0.2">
      <c r="A87" s="939"/>
      <c r="B87" s="939"/>
      <c r="C87" s="939"/>
      <c r="D87" s="939"/>
      <c r="E87" s="137"/>
      <c r="F87" s="137"/>
      <c r="G87" s="871"/>
      <c r="H87" s="871"/>
      <c r="I87" s="900"/>
      <c r="J87" s="858"/>
      <c r="K87" s="409"/>
      <c r="L87" s="409"/>
      <c r="M87" s="409"/>
      <c r="N87" s="409"/>
      <c r="O87" s="409"/>
      <c r="P87" s="859"/>
      <c r="Q87" s="860"/>
    </row>
    <row r="88" spans="1:17" ht="13.5" hidden="1" thickTop="1" x14ac:dyDescent="0.2">
      <c r="A88" s="939"/>
      <c r="B88" s="939"/>
      <c r="C88" s="939"/>
      <c r="D88" s="939"/>
      <c r="E88" s="137"/>
      <c r="F88" s="137"/>
      <c r="G88" s="871"/>
      <c r="H88" s="871"/>
      <c r="I88" s="900"/>
      <c r="J88" s="858"/>
      <c r="K88" s="409"/>
      <c r="L88" s="409"/>
      <c r="M88" s="409"/>
      <c r="N88" s="409"/>
      <c r="O88" s="409"/>
      <c r="P88" s="859"/>
      <c r="Q88" s="860"/>
    </row>
    <row r="89" spans="1:17" ht="13.5" hidden="1" thickTop="1" x14ac:dyDescent="0.2">
      <c r="A89" s="939"/>
      <c r="B89" s="939"/>
      <c r="C89" s="979"/>
      <c r="D89" s="979"/>
      <c r="E89" s="137"/>
      <c r="F89" s="137"/>
      <c r="G89" s="871"/>
      <c r="H89" s="871"/>
      <c r="I89" s="900"/>
      <c r="J89" s="858"/>
      <c r="K89" s="409"/>
      <c r="L89" s="409"/>
      <c r="M89" s="409"/>
      <c r="N89" s="409"/>
      <c r="O89" s="409"/>
      <c r="P89" s="859"/>
      <c r="Q89" s="860"/>
    </row>
    <row r="90" spans="1:17" ht="13.5" hidden="1" thickTop="1" x14ac:dyDescent="0.2">
      <c r="A90" s="939"/>
      <c r="B90" s="939"/>
      <c r="C90" s="939"/>
      <c r="D90" s="939"/>
      <c r="E90" s="137"/>
      <c r="F90" s="137"/>
      <c r="G90" s="871"/>
      <c r="H90" s="871"/>
      <c r="I90" s="900"/>
      <c r="J90" s="858"/>
      <c r="K90" s="409"/>
      <c r="L90" s="409"/>
      <c r="M90" s="409"/>
      <c r="N90" s="409"/>
      <c r="O90" s="409"/>
      <c r="P90" s="859"/>
      <c r="Q90" s="860"/>
    </row>
    <row r="91" spans="1:17" ht="13.5" hidden="1" thickTop="1" x14ac:dyDescent="0.2">
      <c r="A91" s="961"/>
      <c r="B91" s="961"/>
      <c r="C91" s="939"/>
      <c r="D91" s="939"/>
      <c r="E91" s="137"/>
      <c r="F91" s="137"/>
      <c r="G91" s="871"/>
      <c r="H91" s="871"/>
      <c r="I91" s="900"/>
      <c r="J91" s="858"/>
      <c r="K91" s="409"/>
      <c r="L91" s="409"/>
      <c r="M91" s="409"/>
      <c r="N91" s="409"/>
      <c r="O91" s="409"/>
      <c r="P91" s="859"/>
      <c r="Q91" s="860"/>
    </row>
    <row r="92" spans="1:17" ht="13.5" hidden="1" thickTop="1" x14ac:dyDescent="0.2">
      <c r="A92" s="346"/>
      <c r="B92" s="346"/>
      <c r="C92" s="939"/>
      <c r="D92" s="939"/>
      <c r="E92" s="881"/>
      <c r="F92" s="882"/>
      <c r="G92" s="874"/>
      <c r="H92" s="871"/>
      <c r="I92" s="900"/>
      <c r="J92" s="858"/>
      <c r="K92" s="409"/>
      <c r="L92" s="409"/>
      <c r="M92" s="409"/>
      <c r="N92" s="409"/>
      <c r="O92" s="409"/>
      <c r="P92" s="859"/>
      <c r="Q92" s="860"/>
    </row>
    <row r="93" spans="1:17" ht="16.5" hidden="1" thickTop="1" thickBot="1" x14ac:dyDescent="0.3">
      <c r="A93" s="981"/>
      <c r="B93" s="981"/>
      <c r="C93" s="978"/>
      <c r="D93" s="978"/>
      <c r="E93" s="901"/>
      <c r="F93" s="901"/>
      <c r="G93" s="902"/>
      <c r="H93" s="899"/>
      <c r="I93" s="887"/>
      <c r="J93" s="888"/>
      <c r="K93" s="888"/>
      <c r="L93" s="888"/>
      <c r="M93" s="888"/>
      <c r="N93" s="888"/>
      <c r="O93" s="888"/>
      <c r="P93" s="889"/>
      <c r="Q93" s="890"/>
    </row>
    <row r="94" spans="1:17" ht="13.5" thickTop="1" x14ac:dyDescent="0.2">
      <c r="A94" s="937" t="s">
        <v>607</v>
      </c>
      <c r="B94" s="822"/>
      <c r="C94" s="903"/>
      <c r="D94" s="903"/>
      <c r="E94" s="824"/>
      <c r="F94" s="824"/>
      <c r="G94" s="826"/>
      <c r="H94" s="826"/>
      <c r="I94" s="850"/>
      <c r="J94" s="851"/>
      <c r="K94" s="824"/>
      <c r="L94" s="824"/>
      <c r="M94" s="825"/>
      <c r="N94" s="824"/>
      <c r="O94" s="824"/>
      <c r="P94" s="854"/>
      <c r="Q94" s="855"/>
    </row>
    <row r="95" spans="1:17" x14ac:dyDescent="0.2">
      <c r="A95" s="982"/>
      <c r="B95" s="938" t="s">
        <v>383</v>
      </c>
      <c r="C95" s="939" t="s">
        <v>542</v>
      </c>
      <c r="D95" s="939"/>
      <c r="E95" s="467">
        <v>21</v>
      </c>
      <c r="F95" s="861">
        <v>68</v>
      </c>
      <c r="G95" s="907"/>
      <c r="H95" s="907"/>
      <c r="I95" s="843">
        <f t="shared" ref="I95:I127" si="15">E95*F95+H95</f>
        <v>1428</v>
      </c>
      <c r="J95" s="870"/>
      <c r="K95" s="861"/>
      <c r="L95" s="861">
        <v>0</v>
      </c>
      <c r="M95" s="861">
        <v>20</v>
      </c>
      <c r="N95" s="861">
        <v>50</v>
      </c>
      <c r="O95" s="907"/>
      <c r="P95" s="908">
        <f t="shared" ref="P95:P119" si="16">SUM(J95:O95)</f>
        <v>70</v>
      </c>
      <c r="Q95" s="909">
        <f t="shared" ref="Q95:Q126" si="17">I95-P95</f>
        <v>1358</v>
      </c>
    </row>
    <row r="96" spans="1:17" x14ac:dyDescent="0.2">
      <c r="A96" s="982"/>
      <c r="B96" s="938" t="s">
        <v>383</v>
      </c>
      <c r="C96" s="906" t="s">
        <v>571</v>
      </c>
      <c r="D96" s="906" t="s">
        <v>559</v>
      </c>
      <c r="E96" s="410">
        <v>15</v>
      </c>
      <c r="F96" s="861">
        <v>68</v>
      </c>
      <c r="G96" s="907"/>
      <c r="H96" s="907"/>
      <c r="I96" s="843">
        <f t="shared" si="15"/>
        <v>1020</v>
      </c>
      <c r="J96" s="870"/>
      <c r="K96" s="861"/>
      <c r="L96" s="861">
        <v>0</v>
      </c>
      <c r="M96" s="861"/>
      <c r="N96" s="861">
        <v>50</v>
      </c>
      <c r="O96" s="861"/>
      <c r="P96" s="908">
        <f t="shared" si="16"/>
        <v>50</v>
      </c>
      <c r="Q96" s="909">
        <f t="shared" si="17"/>
        <v>970</v>
      </c>
    </row>
    <row r="97" spans="1:17" ht="25.5" x14ac:dyDescent="0.2">
      <c r="A97" s="1805" t="s">
        <v>831</v>
      </c>
      <c r="B97" s="938" t="s">
        <v>383</v>
      </c>
      <c r="C97" s="1804" t="s">
        <v>830</v>
      </c>
      <c r="D97" s="906"/>
      <c r="E97" s="410">
        <v>75</v>
      </c>
      <c r="F97" s="861">
        <v>75</v>
      </c>
      <c r="G97" s="907">
        <v>68</v>
      </c>
      <c r="H97" s="907"/>
      <c r="I97" s="843">
        <f t="shared" si="15"/>
        <v>5625</v>
      </c>
      <c r="J97" s="870">
        <f>I97*15%</f>
        <v>843.75</v>
      </c>
      <c r="K97" s="861"/>
      <c r="L97" s="861"/>
      <c r="M97" s="861"/>
      <c r="N97" s="861"/>
      <c r="O97" s="1803"/>
      <c r="P97" s="908">
        <f>SUM(J97:O97)</f>
        <v>843.75</v>
      </c>
      <c r="Q97" s="909">
        <f t="shared" si="17"/>
        <v>4781.25</v>
      </c>
    </row>
    <row r="98" spans="1:17" x14ac:dyDescent="0.2">
      <c r="A98" s="982"/>
      <c r="B98" s="938" t="s">
        <v>384</v>
      </c>
      <c r="C98" s="939" t="s">
        <v>541</v>
      </c>
      <c r="D98" s="939"/>
      <c r="E98" s="409">
        <v>38</v>
      </c>
      <c r="F98" s="841">
        <v>68</v>
      </c>
      <c r="G98" s="983"/>
      <c r="H98" s="842"/>
      <c r="I98" s="843">
        <f t="shared" si="15"/>
        <v>2584</v>
      </c>
      <c r="J98" s="844"/>
      <c r="K98" s="841"/>
      <c r="L98" s="861">
        <v>0</v>
      </c>
      <c r="M98" s="841"/>
      <c r="N98" s="841">
        <v>50</v>
      </c>
      <c r="O98" s="842"/>
      <c r="P98" s="845">
        <f t="shared" si="16"/>
        <v>50</v>
      </c>
      <c r="Q98" s="846">
        <f t="shared" si="17"/>
        <v>2534</v>
      </c>
    </row>
    <row r="99" spans="1:17" x14ac:dyDescent="0.2">
      <c r="A99" s="982"/>
      <c r="B99" s="910" t="s">
        <v>553</v>
      </c>
      <c r="C99" s="939" t="s">
        <v>574</v>
      </c>
      <c r="D99" s="847">
        <v>2050</v>
      </c>
      <c r="E99" s="409">
        <v>15</v>
      </c>
      <c r="F99" s="841">
        <v>68</v>
      </c>
      <c r="G99" s="841"/>
      <c r="H99" s="842"/>
      <c r="I99" s="848">
        <f t="shared" si="15"/>
        <v>1020</v>
      </c>
      <c r="J99" s="844"/>
      <c r="K99" s="841"/>
      <c r="L99" s="861">
        <v>0</v>
      </c>
      <c r="M99" s="841"/>
      <c r="N99" s="841">
        <v>50</v>
      </c>
      <c r="O99" s="841"/>
      <c r="P99" s="845">
        <f t="shared" si="16"/>
        <v>50</v>
      </c>
      <c r="Q99" s="846">
        <f t="shared" si="17"/>
        <v>970</v>
      </c>
    </row>
    <row r="100" spans="1:17" ht="31.5" customHeight="1" x14ac:dyDescent="0.2">
      <c r="A100" s="1805" t="s">
        <v>831</v>
      </c>
      <c r="B100" s="910" t="s">
        <v>384</v>
      </c>
      <c r="C100" s="1807" t="s">
        <v>830</v>
      </c>
      <c r="D100" s="906"/>
      <c r="E100" s="409">
        <v>50</v>
      </c>
      <c r="F100" s="841">
        <v>75</v>
      </c>
      <c r="G100" s="1806">
        <v>68</v>
      </c>
      <c r="H100" s="842"/>
      <c r="I100" s="848">
        <f t="shared" si="15"/>
        <v>3750</v>
      </c>
      <c r="J100" s="870">
        <f>I100*15%</f>
        <v>562.5</v>
      </c>
      <c r="K100" s="841"/>
      <c r="L100" s="861"/>
      <c r="M100" s="841"/>
      <c r="N100" s="841"/>
      <c r="O100" s="841"/>
      <c r="P100" s="845">
        <f t="shared" si="16"/>
        <v>562.5</v>
      </c>
      <c r="Q100" s="846">
        <f t="shared" si="17"/>
        <v>3187.5</v>
      </c>
    </row>
    <row r="101" spans="1:17" x14ac:dyDescent="0.2">
      <c r="A101" s="982"/>
      <c r="B101" s="939" t="s">
        <v>555</v>
      </c>
      <c r="C101" s="906" t="s">
        <v>560</v>
      </c>
      <c r="D101" s="906" t="s">
        <v>561</v>
      </c>
      <c r="E101" s="467">
        <v>50</v>
      </c>
      <c r="F101" s="861">
        <v>75</v>
      </c>
      <c r="G101" s="907">
        <v>68</v>
      </c>
      <c r="H101" s="907"/>
      <c r="I101" s="843">
        <f t="shared" si="15"/>
        <v>3750</v>
      </c>
      <c r="J101" s="870">
        <f>I101*15%</f>
        <v>562.5</v>
      </c>
      <c r="K101" s="861"/>
      <c r="L101" s="861">
        <v>0</v>
      </c>
      <c r="M101" s="861"/>
      <c r="N101" s="861">
        <v>50</v>
      </c>
      <c r="O101" s="861"/>
      <c r="P101" s="908">
        <f t="shared" si="16"/>
        <v>612.5</v>
      </c>
      <c r="Q101" s="909">
        <f t="shared" si="17"/>
        <v>3137.5</v>
      </c>
    </row>
    <row r="102" spans="1:17" x14ac:dyDescent="0.2">
      <c r="A102" s="982"/>
      <c r="B102" s="938" t="s">
        <v>543</v>
      </c>
      <c r="C102" s="939" t="s">
        <v>542</v>
      </c>
      <c r="D102" s="939"/>
      <c r="E102" s="137">
        <v>20</v>
      </c>
      <c r="F102" s="861">
        <v>68</v>
      </c>
      <c r="G102" s="907"/>
      <c r="H102" s="907"/>
      <c r="I102" s="843">
        <f t="shared" si="15"/>
        <v>1360</v>
      </c>
      <c r="J102" s="870"/>
      <c r="K102" s="861">
        <v>70</v>
      </c>
      <c r="L102" s="861">
        <v>0</v>
      </c>
      <c r="M102" s="861">
        <v>20</v>
      </c>
      <c r="N102" s="861">
        <v>50</v>
      </c>
      <c r="O102" s="907"/>
      <c r="P102" s="908">
        <f t="shared" si="16"/>
        <v>140</v>
      </c>
      <c r="Q102" s="909">
        <f t="shared" si="17"/>
        <v>1220</v>
      </c>
    </row>
    <row r="103" spans="1:17" x14ac:dyDescent="0.2">
      <c r="A103" s="982"/>
      <c r="B103" s="939" t="s">
        <v>543</v>
      </c>
      <c r="C103" s="906" t="s">
        <v>562</v>
      </c>
      <c r="D103" s="906"/>
      <c r="E103" s="410">
        <v>25</v>
      </c>
      <c r="F103" s="861">
        <v>25</v>
      </c>
      <c r="G103" s="907"/>
      <c r="H103" s="907"/>
      <c r="I103" s="843">
        <f t="shared" si="15"/>
        <v>625</v>
      </c>
      <c r="J103" s="870"/>
      <c r="K103" s="861">
        <v>50</v>
      </c>
      <c r="L103" s="861">
        <v>0</v>
      </c>
      <c r="M103" s="861"/>
      <c r="N103" s="861">
        <v>50</v>
      </c>
      <c r="O103" s="861"/>
      <c r="P103" s="908">
        <f t="shared" si="16"/>
        <v>100</v>
      </c>
      <c r="Q103" s="909">
        <f t="shared" si="17"/>
        <v>525</v>
      </c>
    </row>
    <row r="104" spans="1:17" x14ac:dyDescent="0.2">
      <c r="A104" s="982"/>
      <c r="B104" s="939" t="s">
        <v>556</v>
      </c>
      <c r="C104" s="939" t="s">
        <v>557</v>
      </c>
      <c r="D104" s="869">
        <v>4156</v>
      </c>
      <c r="E104" s="137">
        <v>50</v>
      </c>
      <c r="F104" s="861">
        <v>75</v>
      </c>
      <c r="G104" s="907">
        <v>68</v>
      </c>
      <c r="H104" s="907">
        <v>400</v>
      </c>
      <c r="I104" s="843">
        <f t="shared" si="15"/>
        <v>4150</v>
      </c>
      <c r="J104" s="870">
        <f>I104*15%</f>
        <v>622.5</v>
      </c>
      <c r="K104" s="861">
        <v>100</v>
      </c>
      <c r="L104" s="861">
        <v>0</v>
      </c>
      <c r="M104" s="861"/>
      <c r="N104" s="861">
        <v>50</v>
      </c>
      <c r="O104" s="861"/>
      <c r="P104" s="908">
        <f t="shared" si="16"/>
        <v>772.5</v>
      </c>
      <c r="Q104" s="909">
        <f t="shared" si="17"/>
        <v>3377.5</v>
      </c>
    </row>
    <row r="105" spans="1:17" s="1727" customFormat="1" x14ac:dyDescent="0.2">
      <c r="A105" s="1726"/>
      <c r="B105" s="1725" t="s">
        <v>556</v>
      </c>
      <c r="C105" s="906" t="s">
        <v>787</v>
      </c>
      <c r="D105" s="906" t="s">
        <v>561</v>
      </c>
      <c r="E105" s="410">
        <v>25</v>
      </c>
      <c r="F105" s="861">
        <v>68</v>
      </c>
      <c r="G105" s="907"/>
      <c r="H105" s="907"/>
      <c r="I105" s="843">
        <f t="shared" si="15"/>
        <v>1700</v>
      </c>
      <c r="J105" s="870"/>
      <c r="K105" s="861">
        <v>50</v>
      </c>
      <c r="L105" s="861">
        <v>0</v>
      </c>
      <c r="M105" s="861"/>
      <c r="N105" s="861">
        <v>50</v>
      </c>
      <c r="O105" s="861"/>
      <c r="P105" s="908">
        <f t="shared" si="16"/>
        <v>100</v>
      </c>
      <c r="Q105" s="909">
        <f t="shared" si="17"/>
        <v>1600</v>
      </c>
    </row>
    <row r="106" spans="1:17" x14ac:dyDescent="0.2">
      <c r="A106" s="982"/>
      <c r="B106" s="939" t="s">
        <v>543</v>
      </c>
      <c r="C106" s="906" t="s">
        <v>565</v>
      </c>
      <c r="D106" s="906"/>
      <c r="E106" s="410">
        <v>15</v>
      </c>
      <c r="F106" s="861">
        <v>25</v>
      </c>
      <c r="G106" s="907"/>
      <c r="H106" s="907"/>
      <c r="I106" s="843">
        <f t="shared" si="15"/>
        <v>375</v>
      </c>
      <c r="J106" s="870"/>
      <c r="K106" s="861">
        <v>50</v>
      </c>
      <c r="L106" s="861">
        <v>0</v>
      </c>
      <c r="M106" s="861"/>
      <c r="N106" s="861">
        <v>50</v>
      </c>
      <c r="O106" s="861"/>
      <c r="P106" s="908">
        <f t="shared" si="16"/>
        <v>100</v>
      </c>
      <c r="Q106" s="909">
        <f t="shared" si="17"/>
        <v>275</v>
      </c>
    </row>
    <row r="107" spans="1:17" x14ac:dyDescent="0.2">
      <c r="A107" s="982"/>
      <c r="B107" s="953" t="s">
        <v>563</v>
      </c>
      <c r="C107" s="953" t="s">
        <v>576</v>
      </c>
      <c r="D107" s="912"/>
      <c r="E107" s="235">
        <v>40</v>
      </c>
      <c r="F107" s="913">
        <v>75</v>
      </c>
      <c r="G107" s="914">
        <v>68</v>
      </c>
      <c r="H107" s="915"/>
      <c r="I107" s="848">
        <f t="shared" si="15"/>
        <v>3000</v>
      </c>
      <c r="J107" s="916">
        <f>I107*15%</f>
        <v>450</v>
      </c>
      <c r="K107" s="913">
        <v>75</v>
      </c>
      <c r="L107" s="861">
        <v>0</v>
      </c>
      <c r="M107" s="913"/>
      <c r="N107" s="913">
        <v>50</v>
      </c>
      <c r="O107" s="913"/>
      <c r="P107" s="917">
        <f t="shared" si="16"/>
        <v>575</v>
      </c>
      <c r="Q107" s="918">
        <f t="shared" si="17"/>
        <v>2425</v>
      </c>
    </row>
    <row r="108" spans="1:17" x14ac:dyDescent="0.2">
      <c r="A108" s="982"/>
      <c r="B108" s="939" t="s">
        <v>563</v>
      </c>
      <c r="C108" s="906" t="s">
        <v>564</v>
      </c>
      <c r="D108" s="906" t="s">
        <v>559</v>
      </c>
      <c r="E108" s="410">
        <v>25</v>
      </c>
      <c r="F108" s="861">
        <v>68</v>
      </c>
      <c r="G108" s="907"/>
      <c r="H108" s="907"/>
      <c r="I108" s="843">
        <f t="shared" si="15"/>
        <v>1700</v>
      </c>
      <c r="J108" s="870"/>
      <c r="K108" s="861">
        <v>50</v>
      </c>
      <c r="L108" s="861">
        <v>0</v>
      </c>
      <c r="M108" s="861"/>
      <c r="N108" s="861">
        <v>50</v>
      </c>
      <c r="O108" s="861"/>
      <c r="P108" s="908">
        <f t="shared" si="16"/>
        <v>100</v>
      </c>
      <c r="Q108" s="909">
        <f t="shared" si="17"/>
        <v>1600</v>
      </c>
    </row>
    <row r="109" spans="1:17" x14ac:dyDescent="0.2">
      <c r="A109" s="982"/>
      <c r="B109" s="939" t="s">
        <v>544</v>
      </c>
      <c r="C109" s="906" t="s">
        <v>566</v>
      </c>
      <c r="D109" s="906"/>
      <c r="E109" s="467">
        <v>100</v>
      </c>
      <c r="F109" s="861">
        <v>75</v>
      </c>
      <c r="G109" s="907">
        <v>68</v>
      </c>
      <c r="H109" s="907">
        <v>400</v>
      </c>
      <c r="I109" s="843">
        <f t="shared" si="15"/>
        <v>7900</v>
      </c>
      <c r="J109" s="870">
        <f>I109*15%</f>
        <v>1185</v>
      </c>
      <c r="K109" s="861">
        <v>100</v>
      </c>
      <c r="L109" s="861">
        <v>0</v>
      </c>
      <c r="M109" s="861"/>
      <c r="N109" s="861">
        <v>50</v>
      </c>
      <c r="O109" s="861"/>
      <c r="P109" s="908">
        <f t="shared" si="16"/>
        <v>1335</v>
      </c>
      <c r="Q109" s="909">
        <f t="shared" si="17"/>
        <v>6565</v>
      </c>
    </row>
    <row r="110" spans="1:17" x14ac:dyDescent="0.2">
      <c r="A110" s="982"/>
      <c r="B110" s="910" t="s">
        <v>544</v>
      </c>
      <c r="C110" s="939" t="s">
        <v>788</v>
      </c>
      <c r="D110" s="847">
        <v>2050</v>
      </c>
      <c r="E110" s="409">
        <v>20</v>
      </c>
      <c r="F110" s="841">
        <v>68</v>
      </c>
      <c r="G110" s="841"/>
      <c r="H110" s="842"/>
      <c r="I110" s="848">
        <f t="shared" si="15"/>
        <v>1360</v>
      </c>
      <c r="J110" s="844"/>
      <c r="K110" s="841"/>
      <c r="L110" s="861">
        <v>0</v>
      </c>
      <c r="M110" s="841"/>
      <c r="N110" s="841">
        <v>50</v>
      </c>
      <c r="O110" s="841"/>
      <c r="P110" s="845">
        <f t="shared" si="16"/>
        <v>50</v>
      </c>
      <c r="Q110" s="846">
        <f t="shared" si="17"/>
        <v>1310</v>
      </c>
    </row>
    <row r="111" spans="1:17" x14ac:dyDescent="0.2">
      <c r="A111" s="982"/>
      <c r="B111" s="938" t="s">
        <v>544</v>
      </c>
      <c r="C111" s="939" t="s">
        <v>542</v>
      </c>
      <c r="D111" s="939"/>
      <c r="E111" s="409">
        <v>25</v>
      </c>
      <c r="F111" s="841">
        <v>68</v>
      </c>
      <c r="G111" s="842"/>
      <c r="H111" s="842"/>
      <c r="I111" s="843">
        <f t="shared" si="15"/>
        <v>1700</v>
      </c>
      <c r="J111" s="844"/>
      <c r="K111" s="841">
        <v>55</v>
      </c>
      <c r="L111" s="861">
        <v>0</v>
      </c>
      <c r="M111" s="841">
        <v>20</v>
      </c>
      <c r="N111" s="841">
        <v>50</v>
      </c>
      <c r="O111" s="842"/>
      <c r="P111" s="845">
        <f t="shared" si="16"/>
        <v>125</v>
      </c>
      <c r="Q111" s="846">
        <f t="shared" si="17"/>
        <v>1575</v>
      </c>
    </row>
    <row r="112" spans="1:17" x14ac:dyDescent="0.2">
      <c r="A112" s="982"/>
      <c r="B112" s="939" t="s">
        <v>567</v>
      </c>
      <c r="C112" s="906" t="s">
        <v>568</v>
      </c>
      <c r="D112" s="906" t="s">
        <v>561</v>
      </c>
      <c r="E112" s="410">
        <v>25</v>
      </c>
      <c r="F112" s="861">
        <v>68</v>
      </c>
      <c r="G112" s="907"/>
      <c r="H112" s="907"/>
      <c r="I112" s="843">
        <f t="shared" si="15"/>
        <v>1700</v>
      </c>
      <c r="J112" s="870"/>
      <c r="K112" s="861">
        <v>50</v>
      </c>
      <c r="L112" s="861">
        <v>0</v>
      </c>
      <c r="M112" s="861"/>
      <c r="N112" s="861">
        <v>50</v>
      </c>
      <c r="O112" s="861"/>
      <c r="P112" s="908">
        <f t="shared" si="16"/>
        <v>100</v>
      </c>
      <c r="Q112" s="909">
        <f t="shared" si="17"/>
        <v>1600</v>
      </c>
    </row>
    <row r="113" spans="1:17" x14ac:dyDescent="0.2">
      <c r="A113" s="982"/>
      <c r="B113" s="939" t="s">
        <v>567</v>
      </c>
      <c r="C113" s="906" t="s">
        <v>569</v>
      </c>
      <c r="D113" s="906" t="s">
        <v>561</v>
      </c>
      <c r="E113" s="410">
        <v>20</v>
      </c>
      <c r="F113" s="861">
        <v>68</v>
      </c>
      <c r="G113" s="907"/>
      <c r="H113" s="907"/>
      <c r="I113" s="843">
        <f t="shared" si="15"/>
        <v>1360</v>
      </c>
      <c r="J113" s="870"/>
      <c r="K113" s="861">
        <v>50</v>
      </c>
      <c r="L113" s="861">
        <v>0</v>
      </c>
      <c r="M113" s="861"/>
      <c r="N113" s="861">
        <v>50</v>
      </c>
      <c r="O113" s="861"/>
      <c r="P113" s="908">
        <f t="shared" si="16"/>
        <v>100</v>
      </c>
      <c r="Q113" s="909">
        <f t="shared" si="17"/>
        <v>1260</v>
      </c>
    </row>
    <row r="114" spans="1:17" x14ac:dyDescent="0.2">
      <c r="A114" s="982"/>
      <c r="B114" s="939" t="s">
        <v>567</v>
      </c>
      <c r="C114" s="939" t="s">
        <v>789</v>
      </c>
      <c r="D114" s="588"/>
      <c r="E114" s="200">
        <v>25</v>
      </c>
      <c r="F114" s="861">
        <v>68</v>
      </c>
      <c r="G114" s="911"/>
      <c r="H114" s="985"/>
      <c r="I114" s="843">
        <f t="shared" si="15"/>
        <v>1700</v>
      </c>
      <c r="J114" s="986"/>
      <c r="K114" s="984">
        <v>50</v>
      </c>
      <c r="L114" s="861">
        <v>0</v>
      </c>
      <c r="M114" s="471"/>
      <c r="N114" s="984">
        <v>50</v>
      </c>
      <c r="O114" s="984"/>
      <c r="P114" s="908">
        <f t="shared" si="16"/>
        <v>100</v>
      </c>
      <c r="Q114" s="909">
        <f t="shared" si="17"/>
        <v>1600</v>
      </c>
    </row>
    <row r="115" spans="1:17" x14ac:dyDescent="0.2">
      <c r="A115" s="982"/>
      <c r="B115" s="939" t="s">
        <v>545</v>
      </c>
      <c r="C115" s="906" t="s">
        <v>790</v>
      </c>
      <c r="D115" s="906" t="s">
        <v>561</v>
      </c>
      <c r="E115" s="410">
        <v>30</v>
      </c>
      <c r="F115" s="861">
        <v>68</v>
      </c>
      <c r="G115" s="907"/>
      <c r="H115" s="907"/>
      <c r="I115" s="843">
        <f t="shared" si="15"/>
        <v>2040</v>
      </c>
      <c r="J115" s="870"/>
      <c r="K115" s="861">
        <v>50</v>
      </c>
      <c r="L115" s="861">
        <v>0</v>
      </c>
      <c r="M115" s="861"/>
      <c r="N115" s="861">
        <v>50</v>
      </c>
      <c r="O115" s="861"/>
      <c r="P115" s="908">
        <f t="shared" si="16"/>
        <v>100</v>
      </c>
      <c r="Q115" s="909">
        <f t="shared" si="17"/>
        <v>1940</v>
      </c>
    </row>
    <row r="116" spans="1:17" x14ac:dyDescent="0.2">
      <c r="A116" s="982"/>
      <c r="B116" s="939" t="s">
        <v>545</v>
      </c>
      <c r="C116" s="939" t="s">
        <v>577</v>
      </c>
      <c r="D116" s="847">
        <v>2306</v>
      </c>
      <c r="E116" s="137">
        <v>25</v>
      </c>
      <c r="F116" s="861">
        <v>68</v>
      </c>
      <c r="G116" s="911"/>
      <c r="H116" s="907"/>
      <c r="I116" s="843">
        <f t="shared" si="15"/>
        <v>1700</v>
      </c>
      <c r="J116" s="870"/>
      <c r="K116" s="861">
        <v>50</v>
      </c>
      <c r="L116" s="861">
        <v>0</v>
      </c>
      <c r="M116" s="861"/>
      <c r="N116" s="861">
        <v>50</v>
      </c>
      <c r="O116" s="861"/>
      <c r="P116" s="908">
        <f t="shared" si="16"/>
        <v>100</v>
      </c>
      <c r="Q116" s="909">
        <f t="shared" si="17"/>
        <v>1600</v>
      </c>
    </row>
    <row r="117" spans="1:17" x14ac:dyDescent="0.2">
      <c r="A117" s="982"/>
      <c r="B117" s="938" t="s">
        <v>545</v>
      </c>
      <c r="C117" s="939" t="s">
        <v>541</v>
      </c>
      <c r="D117" s="939"/>
      <c r="E117" s="137">
        <v>25</v>
      </c>
      <c r="F117" s="861">
        <v>68</v>
      </c>
      <c r="G117" s="833"/>
      <c r="H117" s="907"/>
      <c r="I117" s="843">
        <f t="shared" si="15"/>
        <v>1700</v>
      </c>
      <c r="J117" s="870"/>
      <c r="K117" s="861">
        <v>50</v>
      </c>
      <c r="L117" s="861">
        <v>0</v>
      </c>
      <c r="M117" s="861"/>
      <c r="N117" s="861">
        <v>50</v>
      </c>
      <c r="O117" s="907"/>
      <c r="P117" s="908">
        <f t="shared" si="16"/>
        <v>100</v>
      </c>
      <c r="Q117" s="909">
        <f t="shared" si="17"/>
        <v>1600</v>
      </c>
    </row>
    <row r="118" spans="1:17" x14ac:dyDescent="0.2">
      <c r="A118" s="982"/>
      <c r="B118" s="938" t="s">
        <v>546</v>
      </c>
      <c r="C118" s="939" t="s">
        <v>542</v>
      </c>
      <c r="D118" s="939"/>
      <c r="E118" s="409">
        <v>20</v>
      </c>
      <c r="F118" s="841">
        <v>68</v>
      </c>
      <c r="G118" s="842"/>
      <c r="H118" s="842"/>
      <c r="I118" s="843">
        <f t="shared" si="15"/>
        <v>1360</v>
      </c>
      <c r="J118" s="844"/>
      <c r="K118" s="841">
        <v>55</v>
      </c>
      <c r="L118" s="861">
        <v>0</v>
      </c>
      <c r="M118" s="841">
        <v>20</v>
      </c>
      <c r="N118" s="841">
        <v>50</v>
      </c>
      <c r="O118" s="842"/>
      <c r="P118" s="845">
        <f t="shared" si="16"/>
        <v>125</v>
      </c>
      <c r="Q118" s="846">
        <f t="shared" si="17"/>
        <v>1235</v>
      </c>
    </row>
    <row r="119" spans="1:17" x14ac:dyDescent="0.2">
      <c r="A119" s="982"/>
      <c r="B119" s="939" t="s">
        <v>546</v>
      </c>
      <c r="C119" s="939" t="s">
        <v>558</v>
      </c>
      <c r="D119" s="869">
        <v>5519</v>
      </c>
      <c r="E119" s="409">
        <v>50</v>
      </c>
      <c r="F119" s="841">
        <v>75</v>
      </c>
      <c r="G119" s="842">
        <v>68</v>
      </c>
      <c r="H119" s="842">
        <v>400</v>
      </c>
      <c r="I119" s="848">
        <f t="shared" si="15"/>
        <v>4150</v>
      </c>
      <c r="J119" s="844">
        <f>I119*15%</f>
        <v>622.5</v>
      </c>
      <c r="K119" s="841">
        <v>125</v>
      </c>
      <c r="L119" s="861">
        <v>0</v>
      </c>
      <c r="M119" s="841"/>
      <c r="N119" s="841">
        <v>50</v>
      </c>
      <c r="O119" s="841"/>
      <c r="P119" s="845">
        <f t="shared" si="16"/>
        <v>797.5</v>
      </c>
      <c r="Q119" s="846">
        <f t="shared" si="17"/>
        <v>3352.5</v>
      </c>
    </row>
    <row r="120" spans="1:17" x14ac:dyDescent="0.2">
      <c r="A120" s="982"/>
      <c r="B120" s="939" t="s">
        <v>546</v>
      </c>
      <c r="C120" s="939" t="s">
        <v>791</v>
      </c>
      <c r="D120" s="939" t="s">
        <v>561</v>
      </c>
      <c r="E120" s="137">
        <v>25</v>
      </c>
      <c r="F120" s="861">
        <v>68</v>
      </c>
      <c r="G120" s="911"/>
      <c r="H120" s="907"/>
      <c r="I120" s="843">
        <f t="shared" si="15"/>
        <v>1700</v>
      </c>
      <c r="J120" s="870"/>
      <c r="K120" s="861">
        <v>50</v>
      </c>
      <c r="L120" s="861">
        <v>0</v>
      </c>
      <c r="M120" s="861"/>
      <c r="N120" s="861">
        <v>50</v>
      </c>
      <c r="O120" s="861"/>
      <c r="P120" s="908">
        <f>SUM(K120:O120)</f>
        <v>100</v>
      </c>
      <c r="Q120" s="909">
        <f t="shared" si="17"/>
        <v>1600</v>
      </c>
    </row>
    <row r="121" spans="1:17" x14ac:dyDescent="0.2">
      <c r="A121" s="982"/>
      <c r="B121" s="939" t="s">
        <v>546</v>
      </c>
      <c r="C121" s="906" t="s">
        <v>792</v>
      </c>
      <c r="D121" s="906"/>
      <c r="E121" s="410">
        <v>25</v>
      </c>
      <c r="F121" s="861">
        <v>25</v>
      </c>
      <c r="G121" s="907"/>
      <c r="H121" s="907"/>
      <c r="I121" s="843">
        <f t="shared" si="15"/>
        <v>625</v>
      </c>
      <c r="J121" s="870"/>
      <c r="K121" s="861">
        <v>50</v>
      </c>
      <c r="L121" s="861">
        <v>0</v>
      </c>
      <c r="M121" s="861"/>
      <c r="N121" s="861">
        <v>50</v>
      </c>
      <c r="O121" s="861"/>
      <c r="P121" s="908">
        <f t="shared" ref="P121" si="18">SUM(J121:O121)</f>
        <v>100</v>
      </c>
      <c r="Q121" s="909">
        <f t="shared" si="17"/>
        <v>525</v>
      </c>
    </row>
    <row r="122" spans="1:17" x14ac:dyDescent="0.2">
      <c r="A122" s="982"/>
      <c r="B122" s="939" t="s">
        <v>570</v>
      </c>
      <c r="C122" s="906" t="s">
        <v>793</v>
      </c>
      <c r="D122" s="906" t="s">
        <v>561</v>
      </c>
      <c r="E122" s="410">
        <v>20</v>
      </c>
      <c r="F122" s="861">
        <v>68</v>
      </c>
      <c r="G122" s="907"/>
      <c r="H122" s="907"/>
      <c r="I122" s="843">
        <f t="shared" si="15"/>
        <v>1360</v>
      </c>
      <c r="J122" s="870"/>
      <c r="K122" s="861">
        <v>50</v>
      </c>
      <c r="L122" s="861">
        <v>0</v>
      </c>
      <c r="M122" s="861"/>
      <c r="N122" s="861">
        <v>50</v>
      </c>
      <c r="O122" s="861"/>
      <c r="P122" s="908">
        <f>SUM(J122:O122)</f>
        <v>100</v>
      </c>
      <c r="Q122" s="909">
        <f t="shared" si="17"/>
        <v>1260</v>
      </c>
    </row>
    <row r="123" spans="1:17" x14ac:dyDescent="0.2">
      <c r="A123" s="982"/>
      <c r="B123" s="939" t="s">
        <v>570</v>
      </c>
      <c r="C123" s="906" t="s">
        <v>794</v>
      </c>
      <c r="D123" s="906" t="s">
        <v>561</v>
      </c>
      <c r="E123" s="410">
        <v>25</v>
      </c>
      <c r="F123" s="861">
        <v>68</v>
      </c>
      <c r="G123" s="907"/>
      <c r="H123" s="907"/>
      <c r="I123" s="843">
        <f t="shared" si="15"/>
        <v>1700</v>
      </c>
      <c r="J123" s="870"/>
      <c r="K123" s="861">
        <v>50</v>
      </c>
      <c r="L123" s="861">
        <v>0</v>
      </c>
      <c r="M123" s="861"/>
      <c r="N123" s="861">
        <v>50</v>
      </c>
      <c r="O123" s="861"/>
      <c r="P123" s="908">
        <f t="shared" ref="P123" si="19">SUM(J123:O123)</f>
        <v>100</v>
      </c>
      <c r="Q123" s="909">
        <f t="shared" si="17"/>
        <v>1600</v>
      </c>
    </row>
    <row r="124" spans="1:17" x14ac:dyDescent="0.2">
      <c r="A124" s="982"/>
      <c r="B124" s="939" t="s">
        <v>570</v>
      </c>
      <c r="C124" s="906" t="s">
        <v>572</v>
      </c>
      <c r="D124" s="906"/>
      <c r="E124" s="467">
        <v>100</v>
      </c>
      <c r="F124" s="861">
        <v>75</v>
      </c>
      <c r="G124" s="907">
        <v>68</v>
      </c>
      <c r="H124" s="907">
        <v>400</v>
      </c>
      <c r="I124" s="843">
        <f t="shared" si="15"/>
        <v>7900</v>
      </c>
      <c r="J124" s="870">
        <f>I124*15%</f>
        <v>1185</v>
      </c>
      <c r="K124" s="861">
        <v>100</v>
      </c>
      <c r="L124" s="861">
        <v>0</v>
      </c>
      <c r="M124" s="861"/>
      <c r="N124" s="861">
        <v>50</v>
      </c>
      <c r="O124" s="861"/>
      <c r="P124" s="908">
        <f>SUM(J124:O124)</f>
        <v>1335</v>
      </c>
      <c r="Q124" s="909">
        <f t="shared" si="17"/>
        <v>6565</v>
      </c>
    </row>
    <row r="125" spans="1:17" x14ac:dyDescent="0.2">
      <c r="A125" s="982"/>
      <c r="B125" s="939" t="s">
        <v>567</v>
      </c>
      <c r="C125" s="906" t="s">
        <v>838</v>
      </c>
      <c r="D125" s="906"/>
      <c r="E125" s="467">
        <v>25</v>
      </c>
      <c r="F125" s="861">
        <f>75</f>
        <v>75</v>
      </c>
      <c r="G125" s="907">
        <f>68</f>
        <v>68</v>
      </c>
      <c r="H125" s="907"/>
      <c r="I125" s="843">
        <f t="shared" si="15"/>
        <v>1875</v>
      </c>
      <c r="J125" s="870">
        <f>I125*15%+218.75</f>
        <v>500</v>
      </c>
      <c r="K125" s="861"/>
      <c r="L125" s="861"/>
      <c r="M125" s="861"/>
      <c r="N125" s="861"/>
      <c r="O125" s="861"/>
      <c r="P125" s="908">
        <f t="shared" ref="P125" si="20">SUM(J125:O125)</f>
        <v>500</v>
      </c>
      <c r="Q125" s="1840"/>
    </row>
    <row r="126" spans="1:17" x14ac:dyDescent="0.2">
      <c r="A126" s="982"/>
      <c r="B126" s="1800" t="s">
        <v>563</v>
      </c>
      <c r="C126" s="947" t="s">
        <v>829</v>
      </c>
      <c r="D126" s="1717"/>
      <c r="E126" s="467">
        <v>100</v>
      </c>
      <c r="F126" s="861">
        <v>75</v>
      </c>
      <c r="G126" s="907">
        <v>68</v>
      </c>
      <c r="H126" s="907">
        <v>400</v>
      </c>
      <c r="I126" s="843">
        <f t="shared" si="15"/>
        <v>7900</v>
      </c>
      <c r="J126" s="870">
        <f>I126*15%</f>
        <v>1185</v>
      </c>
      <c r="K126" s="137">
        <v>100</v>
      </c>
      <c r="L126" s="861">
        <v>0</v>
      </c>
      <c r="M126" s="108"/>
      <c r="N126" s="861">
        <v>50</v>
      </c>
      <c r="O126" s="137"/>
      <c r="P126" s="1801">
        <f>SUM(J126:O126)</f>
        <v>1335</v>
      </c>
      <c r="Q126" s="1802">
        <f t="shared" si="17"/>
        <v>6565</v>
      </c>
    </row>
    <row r="127" spans="1:17" ht="13.5" thickBot="1" x14ac:dyDescent="0.25">
      <c r="A127" s="951"/>
      <c r="B127" s="952" t="s">
        <v>555</v>
      </c>
      <c r="C127" s="952" t="s">
        <v>837</v>
      </c>
      <c r="D127" s="952"/>
      <c r="E127" s="421">
        <v>25</v>
      </c>
      <c r="F127" s="1838">
        <f>75</f>
        <v>75</v>
      </c>
      <c r="G127" s="1839">
        <f>68</f>
        <v>68</v>
      </c>
      <c r="H127" s="904"/>
      <c r="I127" s="843">
        <f t="shared" si="15"/>
        <v>1875</v>
      </c>
      <c r="J127" s="870">
        <f>I127*15%+218.75</f>
        <v>500</v>
      </c>
      <c r="K127" s="421"/>
      <c r="L127" s="421"/>
      <c r="M127" s="421"/>
      <c r="N127" s="1838">
        <f>50</f>
        <v>50</v>
      </c>
      <c r="O127" s="421"/>
      <c r="P127" s="908">
        <f>SUBTOTAL(9,J127:O127)</f>
        <v>550</v>
      </c>
      <c r="Q127" s="905"/>
    </row>
    <row r="128" spans="1:17" ht="14.25" thickTop="1" thickBot="1" x14ac:dyDescent="0.25">
      <c r="A128" s="987" t="s">
        <v>608</v>
      </c>
      <c r="B128" s="987"/>
      <c r="C128" s="988"/>
      <c r="D128" s="988"/>
      <c r="E128" s="989"/>
      <c r="F128" s="989"/>
      <c r="G128" s="990"/>
      <c r="H128" s="991"/>
      <c r="I128" s="1788">
        <f t="shared" ref="I128:P128" si="21">SUM(I95:I127)</f>
        <v>83692</v>
      </c>
      <c r="J128" s="1789">
        <f t="shared" si="21"/>
        <v>8218.75</v>
      </c>
      <c r="K128" s="1789">
        <f t="shared" si="21"/>
        <v>1480</v>
      </c>
      <c r="L128" s="1789">
        <f t="shared" si="21"/>
        <v>0</v>
      </c>
      <c r="M128" s="1789">
        <f t="shared" si="21"/>
        <v>80</v>
      </c>
      <c r="N128" s="1789">
        <f t="shared" si="21"/>
        <v>1500</v>
      </c>
      <c r="O128" s="1789">
        <f t="shared" si="21"/>
        <v>0</v>
      </c>
      <c r="P128" s="1789">
        <f t="shared" si="21"/>
        <v>11278.75</v>
      </c>
      <c r="Q128" s="1790">
        <f>I128-P128</f>
        <v>72413.25</v>
      </c>
    </row>
    <row r="129" spans="1:17" ht="14.25" thickTop="1" thickBot="1" x14ac:dyDescent="0.25">
      <c r="A129" s="992"/>
      <c r="B129" s="992"/>
      <c r="C129" s="992"/>
      <c r="D129" s="993"/>
      <c r="E129" s="994"/>
      <c r="F129" s="994"/>
      <c r="G129" s="995"/>
      <c r="H129" s="995"/>
      <c r="I129" s="996"/>
      <c r="J129" s="996"/>
      <c r="K129" s="996"/>
      <c r="L129" s="996"/>
      <c r="M129" s="996"/>
      <c r="N129" s="996"/>
      <c r="O129" s="996"/>
      <c r="P129" s="996"/>
      <c r="Q129" s="996"/>
    </row>
    <row r="130" spans="1:17" ht="25.5" customHeight="1" thickBot="1" x14ac:dyDescent="0.25">
      <c r="A130" s="997" t="s">
        <v>817</v>
      </c>
      <c r="B130" s="998"/>
      <c r="C130" s="998"/>
      <c r="D130" s="998"/>
      <c r="E130" s="999"/>
      <c r="F130" s="999"/>
      <c r="G130" s="999"/>
      <c r="H130" s="999"/>
      <c r="I130" s="1000">
        <f t="shared" ref="I130:O130" si="22">I15+I29+I36+I43+I50+I83+I128</f>
        <v>220253</v>
      </c>
      <c r="J130" s="1000">
        <f t="shared" si="22"/>
        <v>29472.75</v>
      </c>
      <c r="K130" s="1000">
        <f t="shared" si="22"/>
        <v>28630</v>
      </c>
      <c r="L130" s="1000">
        <f t="shared" si="22"/>
        <v>0</v>
      </c>
      <c r="M130" s="1000">
        <f t="shared" si="22"/>
        <v>13425</v>
      </c>
      <c r="N130" s="1000">
        <f t="shared" si="22"/>
        <v>1925</v>
      </c>
      <c r="O130" s="1000">
        <f t="shared" si="22"/>
        <v>5900</v>
      </c>
      <c r="P130" s="1001">
        <f>P15+P29+P43+P50+P83+P128</f>
        <v>79352.75</v>
      </c>
      <c r="Q130" s="1002">
        <f>I130-P130</f>
        <v>140900.25</v>
      </c>
    </row>
    <row r="131" spans="1:17" x14ac:dyDescent="0.2">
      <c r="A131" s="346"/>
      <c r="B131" s="346"/>
      <c r="C131" s="346"/>
      <c r="D131" s="34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</row>
    <row r="132" spans="1:17" ht="15" x14ac:dyDescent="0.25">
      <c r="A132" s="1003"/>
      <c r="B132" s="1003"/>
      <c r="C132" s="1003"/>
      <c r="D132" s="1003"/>
      <c r="E132" s="1003"/>
      <c r="F132" s="1003"/>
      <c r="G132" s="1003"/>
      <c r="H132" s="106"/>
      <c r="I132" s="106"/>
      <c r="J132" s="106"/>
      <c r="K132" s="106"/>
      <c r="L132" s="106"/>
      <c r="P132" s="106"/>
      <c r="Q132" s="106"/>
    </row>
    <row r="135" spans="1:17" x14ac:dyDescent="0.2">
      <c r="E135" s="960"/>
    </row>
    <row r="136" spans="1:17" x14ac:dyDescent="0.2">
      <c r="A136" s="1004"/>
      <c r="B136" s="1004"/>
      <c r="C136" s="960"/>
      <c r="D136" s="960"/>
    </row>
    <row r="137" spans="1:17" x14ac:dyDescent="0.2">
      <c r="A137" s="1005"/>
      <c r="B137" s="1005"/>
      <c r="C137" s="960"/>
      <c r="D137" s="960"/>
      <c r="F137" s="960"/>
    </row>
    <row r="138" spans="1:17" x14ac:dyDescent="0.2">
      <c r="A138" s="1004"/>
      <c r="B138" s="1004"/>
      <c r="C138" s="960"/>
      <c r="D138" s="960"/>
      <c r="E138" s="960"/>
    </row>
    <row r="139" spans="1:17" x14ac:dyDescent="0.2">
      <c r="A139" s="1004"/>
      <c r="B139" s="1004"/>
      <c r="C139" s="960"/>
      <c r="D139" s="960"/>
    </row>
    <row r="140" spans="1:17" x14ac:dyDescent="0.2">
      <c r="A140" s="1004"/>
      <c r="B140" s="1004"/>
      <c r="C140" s="107"/>
    </row>
    <row r="141" spans="1:17" x14ac:dyDescent="0.2">
      <c r="A141" s="1004"/>
      <c r="B141" s="1004"/>
      <c r="C141" s="107"/>
    </row>
    <row r="142" spans="1:17" x14ac:dyDescent="0.2">
      <c r="A142" s="1004"/>
      <c r="B142" s="1004"/>
    </row>
    <row r="143" spans="1:17" x14ac:dyDescent="0.2">
      <c r="A143" s="1004"/>
      <c r="B143" s="1004"/>
      <c r="C143" s="960"/>
      <c r="D143" s="960"/>
    </row>
    <row r="144" spans="1:17" x14ac:dyDescent="0.2">
      <c r="A144" s="1004"/>
      <c r="B144" s="1004"/>
      <c r="C144" s="960"/>
      <c r="D144" s="960"/>
    </row>
    <row r="145" spans="1:4" x14ac:dyDescent="0.2">
      <c r="A145" s="1004"/>
      <c r="B145" s="1004"/>
      <c r="C145" s="960"/>
    </row>
    <row r="146" spans="1:4" x14ac:dyDescent="0.2">
      <c r="A146" s="1004"/>
      <c r="B146" s="1004"/>
      <c r="C146" s="960"/>
      <c r="D146" s="960"/>
    </row>
    <row r="147" spans="1:4" x14ac:dyDescent="0.2">
      <c r="A147" s="1004"/>
      <c r="B147" s="1004"/>
      <c r="C147" s="960"/>
    </row>
    <row r="148" spans="1:4" x14ac:dyDescent="0.2">
      <c r="A148" s="1004"/>
      <c r="B148" s="1004"/>
    </row>
    <row r="149" spans="1:4" x14ac:dyDescent="0.2">
      <c r="A149" s="1004"/>
      <c r="B149" s="1004"/>
      <c r="C149" s="1006"/>
    </row>
    <row r="150" spans="1:4" x14ac:dyDescent="0.2">
      <c r="C150" s="643"/>
      <c r="D150" s="960"/>
    </row>
    <row r="153" spans="1:4" x14ac:dyDescent="0.2">
      <c r="D153" s="960" t="e">
        <f>D150-#REF!</f>
        <v>#REF!</v>
      </c>
    </row>
  </sheetData>
  <mergeCells count="3">
    <mergeCell ref="A1:C1"/>
    <mergeCell ref="E1:I1"/>
    <mergeCell ref="J1:P1"/>
  </mergeCells>
  <pageMargins left="0.7" right="0.7" top="0.75" bottom="0.75" header="0.3" footer="0.3"/>
  <pageSetup paperSize="5" scale="61" orientation="landscape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H113"/>
  <sheetViews>
    <sheetView zoomScale="125" zoomScaleNormal="125" zoomScaleSheetLayoutView="150" workbookViewId="0">
      <pane xSplit="32" ySplit="4" topLeftCell="AG8" activePane="bottomRight" state="frozen"/>
      <selection pane="topRight" activeCell="AG1" sqref="AG1"/>
      <selection pane="bottomLeft" activeCell="A5" sqref="A5"/>
      <selection pane="bottomRight" activeCell="C19" sqref="C19"/>
    </sheetView>
  </sheetViews>
  <sheetFormatPr defaultRowHeight="12.75" x14ac:dyDescent="0.2"/>
  <cols>
    <col min="1" max="1" width="4" customWidth="1"/>
    <col min="3" max="3" width="27.7109375" customWidth="1"/>
    <col min="4" max="4" width="2.42578125" customWidth="1"/>
    <col min="5" max="5" width="14.85546875" hidden="1" customWidth="1"/>
    <col min="6" max="6" width="15.28515625" hidden="1" customWidth="1"/>
    <col min="7" max="15" width="12.7109375" style="14" hidden="1" customWidth="1"/>
    <col min="16" max="16" width="14.5703125" style="14" hidden="1" customWidth="1"/>
    <col min="17" max="17" width="14.85546875" style="14" hidden="1" customWidth="1"/>
    <col min="18" max="18" width="13.85546875" style="14" hidden="1" customWidth="1"/>
    <col min="19" max="20" width="13.7109375" style="14" hidden="1" customWidth="1"/>
    <col min="21" max="21" width="12.7109375" style="14" hidden="1" customWidth="1"/>
    <col min="22" max="23" width="13.42578125" style="14" hidden="1" customWidth="1"/>
    <col min="24" max="24" width="13.7109375" style="14" hidden="1" customWidth="1"/>
    <col min="25" max="27" width="13.42578125" style="14" hidden="1" customWidth="1"/>
    <col min="28" max="32" width="13.42578125" style="276" hidden="1" customWidth="1"/>
    <col min="33" max="33" width="15.7109375" customWidth="1"/>
    <col min="34" max="35" width="27" hidden="1" customWidth="1"/>
    <col min="36" max="36" width="27" customWidth="1"/>
    <col min="37" max="37" width="23" customWidth="1"/>
    <col min="38" max="38" width="21.42578125" customWidth="1"/>
    <col min="39" max="39" width="11.42578125" hidden="1" customWidth="1"/>
    <col min="40" max="41" width="9.28515625" hidden="1" customWidth="1"/>
    <col min="42" max="45" width="8.7109375" hidden="1" customWidth="1"/>
    <col min="46" max="46" width="11.140625" hidden="1" customWidth="1"/>
    <col min="47" max="47" width="12" hidden="1" customWidth="1"/>
    <col min="48" max="48" width="10.7109375" hidden="1" customWidth="1"/>
    <col min="49" max="49" width="9.140625" hidden="1" customWidth="1"/>
    <col min="50" max="51" width="0" hidden="1" customWidth="1"/>
    <col min="52" max="52" width="12.5703125" bestFit="1" customWidth="1"/>
    <col min="53" max="53" width="10.7109375" customWidth="1"/>
    <col min="54" max="54" width="10.42578125" bestFit="1" customWidth="1"/>
  </cols>
  <sheetData>
    <row r="1" spans="1:60" ht="13.5" thickBot="1" x14ac:dyDescent="0.25">
      <c r="A1" s="349" t="s">
        <v>705</v>
      </c>
      <c r="B1" s="346"/>
      <c r="C1" s="346"/>
      <c r="D1" s="346"/>
      <c r="E1" s="346"/>
      <c r="F1" s="346"/>
      <c r="G1" s="352"/>
      <c r="H1" s="352"/>
      <c r="I1" s="352"/>
      <c r="J1" s="352"/>
      <c r="K1" s="352"/>
      <c r="L1" s="352"/>
      <c r="M1" s="354"/>
      <c r="N1" s="352"/>
      <c r="O1" s="352"/>
      <c r="P1" s="352"/>
      <c r="Q1" s="352"/>
      <c r="R1" s="352"/>
      <c r="S1" s="352"/>
      <c r="T1" s="352"/>
      <c r="U1" s="352"/>
      <c r="V1" s="352"/>
      <c r="W1" s="352"/>
      <c r="Y1" s="352"/>
      <c r="Z1" s="352"/>
      <c r="AA1" s="352"/>
      <c r="AB1" s="355"/>
      <c r="AC1" s="355"/>
      <c r="AD1" s="355"/>
      <c r="AE1" s="355"/>
      <c r="AF1" s="355"/>
      <c r="AZ1" s="2092" t="s">
        <v>679</v>
      </c>
      <c r="BA1" s="2092"/>
      <c r="BB1" s="2092"/>
      <c r="BC1" s="2092"/>
      <c r="BD1" s="2092"/>
      <c r="BE1" s="2092"/>
      <c r="BF1" s="1500"/>
      <c r="BG1" s="1500"/>
      <c r="BH1" s="1500"/>
    </row>
    <row r="2" spans="1:60" ht="76.5" thickTop="1" thickBot="1" x14ac:dyDescent="0.35">
      <c r="A2" s="346"/>
      <c r="B2" s="346"/>
      <c r="C2" s="346"/>
      <c r="D2" s="346"/>
      <c r="E2" s="346"/>
      <c r="F2" s="346"/>
      <c r="G2" s="352"/>
      <c r="H2" s="352"/>
      <c r="I2" s="352"/>
      <c r="J2" s="352"/>
      <c r="K2" s="352"/>
      <c r="L2" s="356" t="s">
        <v>365</v>
      </c>
      <c r="M2" s="356"/>
      <c r="N2" s="352"/>
      <c r="O2" s="352"/>
      <c r="P2" s="352"/>
      <c r="Q2" s="352"/>
      <c r="R2" s="352"/>
      <c r="S2" s="352"/>
      <c r="T2" s="352"/>
      <c r="U2" s="352"/>
      <c r="V2" s="352"/>
      <c r="W2" s="352"/>
      <c r="Y2" s="352"/>
      <c r="Z2" s="352"/>
      <c r="AA2" s="352"/>
      <c r="AB2" s="355"/>
      <c r="AC2" s="355"/>
      <c r="AD2" s="355"/>
      <c r="AE2" s="355"/>
      <c r="AF2" s="355"/>
      <c r="AZ2" s="1405" t="s">
        <v>673</v>
      </c>
      <c r="BA2" s="1406" t="s">
        <v>674</v>
      </c>
      <c r="BB2" s="1407"/>
      <c r="BC2" s="1406" t="s">
        <v>675</v>
      </c>
      <c r="BD2" s="1406" t="s">
        <v>676</v>
      </c>
      <c r="BE2" s="1494" t="s">
        <v>677</v>
      </c>
      <c r="BF2" s="1496"/>
      <c r="BG2" s="1496"/>
      <c r="BH2" s="1496"/>
    </row>
    <row r="3" spans="1:60" s="68" customFormat="1" ht="16.5" thickTop="1" thickBot="1" x14ac:dyDescent="0.3">
      <c r="A3" s="357"/>
      <c r="B3" s="357"/>
      <c r="C3" s="357"/>
      <c r="D3" s="357"/>
      <c r="E3" s="358">
        <v>2000</v>
      </c>
      <c r="F3" s="358">
        <v>2001</v>
      </c>
      <c r="G3" s="359">
        <v>2002</v>
      </c>
      <c r="H3" s="359">
        <v>2003</v>
      </c>
      <c r="I3" s="359">
        <v>2004</v>
      </c>
      <c r="J3" s="359">
        <v>2005</v>
      </c>
      <c r="K3" s="359">
        <v>2006</v>
      </c>
      <c r="L3" s="360">
        <v>2007</v>
      </c>
      <c r="M3" s="360">
        <v>2008</v>
      </c>
      <c r="N3" s="360">
        <v>2009</v>
      </c>
      <c r="O3" s="360">
        <v>2010</v>
      </c>
      <c r="P3" s="360">
        <v>2011</v>
      </c>
      <c r="Q3" s="360">
        <v>2012</v>
      </c>
      <c r="R3" s="360">
        <v>2012</v>
      </c>
      <c r="S3" s="361">
        <v>2014</v>
      </c>
      <c r="T3" s="362" t="s">
        <v>366</v>
      </c>
      <c r="U3" s="363"/>
      <c r="V3" s="364">
        <v>2015</v>
      </c>
      <c r="W3" s="365" t="s">
        <v>367</v>
      </c>
      <c r="X3" s="365" t="s">
        <v>367</v>
      </c>
      <c r="Y3" s="364">
        <v>2015</v>
      </c>
      <c r="Z3" s="364">
        <v>2016</v>
      </c>
      <c r="AA3" s="364">
        <v>2017</v>
      </c>
      <c r="AB3" s="364">
        <v>2018</v>
      </c>
      <c r="AC3" s="364">
        <v>2019</v>
      </c>
      <c r="AD3" s="364">
        <v>2019</v>
      </c>
      <c r="AE3" s="364">
        <v>2020</v>
      </c>
      <c r="AF3" s="1355">
        <v>2020</v>
      </c>
      <c r="AG3" s="366">
        <v>2021</v>
      </c>
      <c r="AH3" s="367">
        <v>2018</v>
      </c>
      <c r="AI3" s="367"/>
      <c r="AJ3" s="367">
        <v>2021</v>
      </c>
      <c r="AK3" s="367">
        <v>2022</v>
      </c>
      <c r="AL3" s="368"/>
      <c r="AM3" s="369">
        <v>2020</v>
      </c>
      <c r="AN3" s="370"/>
      <c r="AO3" s="370"/>
      <c r="AP3" s="371"/>
      <c r="AQ3" s="371"/>
      <c r="AR3" s="371"/>
      <c r="AS3" s="370"/>
      <c r="AT3" s="372"/>
      <c r="AZ3" s="1408">
        <v>2021</v>
      </c>
      <c r="BA3" s="1409">
        <v>0.49</v>
      </c>
      <c r="BB3" s="1410" t="s">
        <v>678</v>
      </c>
      <c r="BC3" s="1410" t="s">
        <v>260</v>
      </c>
      <c r="BD3" s="1409">
        <v>0.49</v>
      </c>
      <c r="BE3" s="1495">
        <v>31</v>
      </c>
      <c r="BF3" s="1497"/>
      <c r="BG3" s="1498"/>
      <c r="BH3" s="1499"/>
    </row>
    <row r="4" spans="1:60" ht="27" thickTop="1" thickBot="1" x14ac:dyDescent="0.25">
      <c r="A4" s="346"/>
      <c r="B4" s="346"/>
      <c r="C4" s="346"/>
      <c r="D4" s="346"/>
      <c r="E4" s="373" t="s">
        <v>368</v>
      </c>
      <c r="F4" s="373" t="s">
        <v>368</v>
      </c>
      <c r="G4" s="374" t="s">
        <v>368</v>
      </c>
      <c r="H4" s="374" t="s">
        <v>368</v>
      </c>
      <c r="I4" s="374" t="s">
        <v>368</v>
      </c>
      <c r="J4" s="374" t="s">
        <v>368</v>
      </c>
      <c r="K4" s="374" t="s">
        <v>368</v>
      </c>
      <c r="L4" s="374" t="s">
        <v>368</v>
      </c>
      <c r="M4" s="374" t="s">
        <v>368</v>
      </c>
      <c r="N4" s="374" t="s">
        <v>368</v>
      </c>
      <c r="O4" s="374" t="s">
        <v>368</v>
      </c>
      <c r="P4" s="374" t="s">
        <v>368</v>
      </c>
      <c r="Q4" s="374" t="s">
        <v>274</v>
      </c>
      <c r="R4" s="374" t="s">
        <v>369</v>
      </c>
      <c r="S4" s="375" t="s">
        <v>274</v>
      </c>
      <c r="T4" s="376" t="s">
        <v>273</v>
      </c>
      <c r="U4" s="377" t="s">
        <v>370</v>
      </c>
      <c r="V4" s="377" t="s">
        <v>274</v>
      </c>
      <c r="W4" s="378" t="s">
        <v>273</v>
      </c>
      <c r="X4" s="378" t="s">
        <v>273</v>
      </c>
      <c r="Y4" s="377" t="s">
        <v>371</v>
      </c>
      <c r="Z4" s="377" t="s">
        <v>274</v>
      </c>
      <c r="AA4" s="377" t="s">
        <v>274</v>
      </c>
      <c r="AB4" s="377" t="s">
        <v>274</v>
      </c>
      <c r="AC4" s="377" t="s">
        <v>274</v>
      </c>
      <c r="AD4" s="377" t="s">
        <v>372</v>
      </c>
      <c r="AE4" s="377" t="s">
        <v>274</v>
      </c>
      <c r="AF4" s="1359" t="s">
        <v>657</v>
      </c>
      <c r="AG4" s="379" t="s">
        <v>274</v>
      </c>
      <c r="AH4" s="379" t="s">
        <v>372</v>
      </c>
      <c r="AI4" s="379"/>
      <c r="AJ4" s="379" t="s">
        <v>372</v>
      </c>
      <c r="AK4" s="379" t="s">
        <v>274</v>
      </c>
      <c r="AL4" s="3"/>
      <c r="AM4" s="380" t="s">
        <v>373</v>
      </c>
      <c r="AN4" s="371"/>
      <c r="AO4" s="371"/>
      <c r="AP4" s="371"/>
      <c r="AQ4" s="371"/>
      <c r="AR4" s="371"/>
      <c r="AS4" s="371"/>
      <c r="AT4" s="381"/>
      <c r="AZ4" s="1408">
        <v>2022</v>
      </c>
      <c r="BA4" s="1409">
        <v>0.5</v>
      </c>
      <c r="BB4" s="1410" t="s">
        <v>678</v>
      </c>
      <c r="BC4" s="1409">
        <v>0.05</v>
      </c>
      <c r="BD4" s="1409">
        <v>0.55000000000000004</v>
      </c>
      <c r="BE4" s="1495">
        <v>31</v>
      </c>
      <c r="BF4" s="1498"/>
      <c r="BG4" s="1498"/>
      <c r="BH4" s="1499"/>
    </row>
    <row r="5" spans="1:60" ht="19.5" thickTop="1" thickBot="1" x14ac:dyDescent="0.3">
      <c r="A5" s="382" t="s">
        <v>374</v>
      </c>
      <c r="B5" s="346"/>
      <c r="C5" s="346"/>
      <c r="D5" s="346"/>
      <c r="E5" s="383"/>
      <c r="F5" s="383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84"/>
      <c r="T5" s="379"/>
      <c r="U5" s="379"/>
      <c r="V5" s="379"/>
      <c r="W5" s="379"/>
      <c r="X5" s="379"/>
      <c r="Y5" s="379"/>
      <c r="Z5" s="379"/>
      <c r="AA5" s="379"/>
      <c r="AB5" s="385"/>
      <c r="AC5" s="385"/>
      <c r="AD5" s="385"/>
      <c r="AE5" s="385"/>
      <c r="AF5" s="1373" t="s">
        <v>660</v>
      </c>
      <c r="AG5" s="3"/>
      <c r="AH5" s="167" t="s">
        <v>375</v>
      </c>
      <c r="AI5" s="167"/>
      <c r="AJ5" s="167"/>
      <c r="AK5" s="167"/>
      <c r="AL5" s="3"/>
      <c r="AM5" s="371"/>
      <c r="AN5" s="371"/>
      <c r="AO5" s="371"/>
      <c r="AP5" s="371"/>
      <c r="AQ5" s="371"/>
      <c r="AR5" s="371"/>
      <c r="AS5" s="371"/>
      <c r="AT5" s="381"/>
      <c r="AZ5" s="1408">
        <v>2023</v>
      </c>
      <c r="BA5" s="1409">
        <v>0.51</v>
      </c>
      <c r="BB5" s="1410" t="s">
        <v>678</v>
      </c>
      <c r="BC5" s="1409">
        <v>0.05</v>
      </c>
      <c r="BD5" s="1409">
        <v>0.56000000000000005</v>
      </c>
      <c r="BE5" s="1495">
        <v>31</v>
      </c>
      <c r="BF5" s="1498"/>
      <c r="BG5" s="1498"/>
      <c r="BH5" s="1499"/>
    </row>
    <row r="6" spans="1:60" ht="16.5" thickTop="1" thickBot="1" x14ac:dyDescent="0.25">
      <c r="A6" s="349" t="s">
        <v>376</v>
      </c>
      <c r="B6" s="346"/>
      <c r="C6" s="346"/>
      <c r="D6" s="346"/>
      <c r="E6" s="346"/>
      <c r="F6" s="346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45"/>
      <c r="T6" s="352"/>
      <c r="U6" s="352"/>
      <c r="V6" s="352"/>
      <c r="W6" s="352"/>
      <c r="X6" s="352"/>
      <c r="Y6" s="352"/>
      <c r="Z6" s="352"/>
      <c r="AA6" s="352"/>
      <c r="AB6" s="355"/>
      <c r="AC6" s="355"/>
      <c r="AD6" s="355"/>
      <c r="AE6" s="355"/>
      <c r="AF6" s="355"/>
      <c r="AG6" s="3"/>
      <c r="AH6" s="3"/>
      <c r="AI6" s="3"/>
      <c r="AJ6" s="3"/>
      <c r="AK6" s="3"/>
      <c r="AL6" s="3"/>
      <c r="AM6" s="386">
        <v>2019</v>
      </c>
      <c r="AN6" s="386" t="s">
        <v>377</v>
      </c>
      <c r="AO6" s="386" t="s">
        <v>377</v>
      </c>
      <c r="AP6" s="386" t="s">
        <v>378</v>
      </c>
      <c r="AQ6" s="386" t="s">
        <v>378</v>
      </c>
      <c r="AR6" s="387">
        <v>43831</v>
      </c>
      <c r="AS6" s="388">
        <v>43862</v>
      </c>
      <c r="AT6" s="386" t="s">
        <v>379</v>
      </c>
      <c r="AZ6" s="1408">
        <v>2024</v>
      </c>
      <c r="BA6" s="1409">
        <v>0.53</v>
      </c>
      <c r="BB6" s="1410" t="s">
        <v>678</v>
      </c>
      <c r="BC6" s="1409">
        <v>0.05</v>
      </c>
      <c r="BD6" s="1409">
        <v>0.57999999999999996</v>
      </c>
      <c r="BE6" s="1495">
        <v>31</v>
      </c>
      <c r="BF6" s="1498"/>
      <c r="BG6" s="1498"/>
      <c r="BH6" s="1499"/>
    </row>
    <row r="7" spans="1:60" ht="27" thickTop="1" thickBot="1" x14ac:dyDescent="0.25">
      <c r="A7" s="389"/>
      <c r="B7" s="2064" t="s">
        <v>380</v>
      </c>
      <c r="C7" s="2064"/>
      <c r="D7" s="2064"/>
      <c r="E7" s="389">
        <v>200</v>
      </c>
      <c r="F7" s="389">
        <v>200</v>
      </c>
      <c r="G7" s="334">
        <v>200</v>
      </c>
      <c r="H7" s="334">
        <v>200</v>
      </c>
      <c r="I7" s="334">
        <v>200</v>
      </c>
      <c r="J7" s="334">
        <v>200</v>
      </c>
      <c r="K7" s="334">
        <v>200</v>
      </c>
      <c r="L7" s="334">
        <v>200</v>
      </c>
      <c r="M7" s="334">
        <v>200</v>
      </c>
      <c r="N7" s="334">
        <v>200</v>
      </c>
      <c r="O7" s="334">
        <v>200</v>
      </c>
      <c r="P7" s="390">
        <v>200</v>
      </c>
      <c r="Q7" s="334">
        <v>200</v>
      </c>
      <c r="R7" s="390">
        <v>200</v>
      </c>
      <c r="S7" s="334">
        <v>200</v>
      </c>
      <c r="T7" s="391">
        <f>S7-R7</f>
        <v>0</v>
      </c>
      <c r="U7" s="392">
        <f>T7/R7</f>
        <v>0</v>
      </c>
      <c r="V7" s="393">
        <v>200</v>
      </c>
      <c r="W7" s="391">
        <f>V7-S7</f>
        <v>0</v>
      </c>
      <c r="X7" s="391">
        <f>V7-S7</f>
        <v>0</v>
      </c>
      <c r="Y7" s="393">
        <v>200</v>
      </c>
      <c r="Z7" s="394">
        <v>200</v>
      </c>
      <c r="AA7" s="394">
        <v>200</v>
      </c>
      <c r="AB7" s="395">
        <f>(200*AB5)+200</f>
        <v>200</v>
      </c>
      <c r="AC7" s="395">
        <v>250</v>
      </c>
      <c r="AD7" s="395"/>
      <c r="AE7" s="395">
        <v>250</v>
      </c>
      <c r="AF7" s="395"/>
      <c r="AG7" s="861">
        <v>250</v>
      </c>
      <c r="AH7" s="394">
        <v>200</v>
      </c>
      <c r="AI7" s="1363"/>
      <c r="AJ7" s="1387"/>
      <c r="AK7" s="1387">
        <v>250</v>
      </c>
      <c r="AL7" s="368" t="s">
        <v>381</v>
      </c>
      <c r="AM7" s="396" t="s">
        <v>382</v>
      </c>
      <c r="AN7" s="386" t="s">
        <v>383</v>
      </c>
      <c r="AO7" s="386" t="s">
        <v>384</v>
      </c>
      <c r="AP7" s="386" t="s">
        <v>383</v>
      </c>
      <c r="AQ7" s="386" t="s">
        <v>384</v>
      </c>
      <c r="AR7" s="386" t="s">
        <v>385</v>
      </c>
      <c r="AS7" s="386" t="s">
        <v>386</v>
      </c>
      <c r="AT7" s="397"/>
      <c r="AZ7" s="1408">
        <v>2025</v>
      </c>
      <c r="BA7" s="1409">
        <v>0.54</v>
      </c>
      <c r="BB7" s="1410" t="s">
        <v>678</v>
      </c>
      <c r="BC7" s="1409">
        <v>0.05</v>
      </c>
      <c r="BD7" s="1409">
        <v>0.59</v>
      </c>
      <c r="BE7" s="1495">
        <v>31</v>
      </c>
      <c r="BF7" s="1498"/>
      <c r="BG7" s="1498"/>
      <c r="BH7" s="1499"/>
    </row>
    <row r="8" spans="1:60" ht="27" thickTop="1" thickBot="1" x14ac:dyDescent="0.25">
      <c r="A8" s="389"/>
      <c r="B8" s="2064" t="s">
        <v>387</v>
      </c>
      <c r="C8" s="2064"/>
      <c r="D8" s="2064"/>
      <c r="E8" s="389">
        <v>199</v>
      </c>
      <c r="F8" s="389">
        <v>150</v>
      </c>
      <c r="G8" s="334">
        <v>150</v>
      </c>
      <c r="H8" s="334">
        <v>150</v>
      </c>
      <c r="I8" s="334">
        <v>150</v>
      </c>
      <c r="J8" s="334">
        <v>150</v>
      </c>
      <c r="K8" s="334">
        <v>150</v>
      </c>
      <c r="L8" s="334">
        <v>150</v>
      </c>
      <c r="M8" s="334">
        <v>150</v>
      </c>
      <c r="N8" s="334">
        <v>150</v>
      </c>
      <c r="O8" s="334">
        <v>150</v>
      </c>
      <c r="P8" s="390">
        <v>200</v>
      </c>
      <c r="Q8" s="334">
        <v>200</v>
      </c>
      <c r="R8" s="390">
        <v>200</v>
      </c>
      <c r="S8" s="334">
        <v>200</v>
      </c>
      <c r="T8" s="391">
        <f>S8-R8</f>
        <v>0</v>
      </c>
      <c r="U8" s="392">
        <f>T8/R8</f>
        <v>0</v>
      </c>
      <c r="V8" s="398">
        <v>200</v>
      </c>
      <c r="W8" s="391">
        <f>V8-S8</f>
        <v>0</v>
      </c>
      <c r="X8" s="391">
        <f>V8-S8</f>
        <v>0</v>
      </c>
      <c r="Y8" s="398">
        <v>200</v>
      </c>
      <c r="Z8" s="399">
        <v>200</v>
      </c>
      <c r="AA8" s="399">
        <v>200</v>
      </c>
      <c r="AB8" s="400">
        <f>(200*AB5)+200</f>
        <v>200</v>
      </c>
      <c r="AC8" s="400">
        <v>200</v>
      </c>
      <c r="AD8" s="400"/>
      <c r="AE8" s="400">
        <v>200</v>
      </c>
      <c r="AF8" s="400"/>
      <c r="AG8" s="1285">
        <v>200</v>
      </c>
      <c r="AH8" s="399">
        <v>200</v>
      </c>
      <c r="AI8" s="1364"/>
      <c r="AJ8" s="399"/>
      <c r="AK8" s="399">
        <v>200</v>
      </c>
      <c r="AL8" s="368" t="s">
        <v>388</v>
      </c>
      <c r="AM8" s="401"/>
      <c r="AN8" s="371"/>
      <c r="AO8" s="371"/>
      <c r="AP8" s="371"/>
      <c r="AQ8" s="371"/>
      <c r="AR8" s="371"/>
      <c r="AS8" s="371"/>
      <c r="AT8" s="381"/>
      <c r="AZ8" s="1408">
        <v>2026</v>
      </c>
      <c r="BA8" s="1409">
        <v>0.54</v>
      </c>
      <c r="BB8" s="1410" t="s">
        <v>678</v>
      </c>
      <c r="BC8" s="1409">
        <v>0.05</v>
      </c>
      <c r="BD8" s="1409">
        <v>0.59</v>
      </c>
      <c r="BE8" s="1495">
        <v>31</v>
      </c>
      <c r="BF8" s="1498"/>
      <c r="BG8" s="1498"/>
      <c r="BH8" s="1499"/>
    </row>
    <row r="9" spans="1:60" ht="16.5" thickTop="1" thickBot="1" x14ac:dyDescent="0.25">
      <c r="A9" s="389"/>
      <c r="B9" s="2064" t="s">
        <v>389</v>
      </c>
      <c r="C9" s="2064"/>
      <c r="D9" s="2064"/>
      <c r="E9" s="389">
        <v>380</v>
      </c>
      <c r="F9" s="389">
        <v>395</v>
      </c>
      <c r="G9" s="334">
        <v>395</v>
      </c>
      <c r="H9" s="334">
        <v>395</v>
      </c>
      <c r="I9" s="334">
        <v>395</v>
      </c>
      <c r="J9" s="334">
        <v>395</v>
      </c>
      <c r="K9" s="334">
        <v>395</v>
      </c>
      <c r="L9" s="334">
        <v>395</v>
      </c>
      <c r="M9" s="334">
        <v>395</v>
      </c>
      <c r="N9" s="334">
        <v>410</v>
      </c>
      <c r="O9" s="334">
        <v>410</v>
      </c>
      <c r="P9" s="390">
        <v>410</v>
      </c>
      <c r="Q9" s="334">
        <v>410</v>
      </c>
      <c r="R9" s="390">
        <v>410</v>
      </c>
      <c r="S9" s="334">
        <v>410</v>
      </c>
      <c r="T9" s="391">
        <f>S9-R9</f>
        <v>0</v>
      </c>
      <c r="U9" s="392">
        <f>T9/R9</f>
        <v>0</v>
      </c>
      <c r="V9" s="398">
        <v>410</v>
      </c>
      <c r="W9" s="391">
        <f>V9-S9</f>
        <v>0</v>
      </c>
      <c r="X9" s="391">
        <f>V9-S9</f>
        <v>0</v>
      </c>
      <c r="Y9" s="398">
        <v>410</v>
      </c>
      <c r="Z9" s="399">
        <v>410</v>
      </c>
      <c r="AA9" s="399">
        <v>410</v>
      </c>
      <c r="AB9" s="400">
        <f>(410*AB5)+410</f>
        <v>410</v>
      </c>
      <c r="AC9" s="400">
        <v>410</v>
      </c>
      <c r="AD9" s="400"/>
      <c r="AE9" s="400">
        <v>425</v>
      </c>
      <c r="AF9" s="400"/>
      <c r="AG9" s="1286">
        <v>425</v>
      </c>
      <c r="AH9" s="399">
        <v>410</v>
      </c>
      <c r="AI9" s="1364"/>
      <c r="AJ9" s="399"/>
      <c r="AK9" s="399">
        <v>426</v>
      </c>
      <c r="AL9" s="3" t="s">
        <v>702</v>
      </c>
      <c r="AM9" s="401">
        <v>410</v>
      </c>
      <c r="AN9" s="402">
        <v>41</v>
      </c>
      <c r="AO9" s="402">
        <v>41</v>
      </c>
      <c r="AP9" s="403">
        <f>AM9*AN9</f>
        <v>16810</v>
      </c>
      <c r="AQ9" s="403">
        <f>AM9*AO9</f>
        <v>16810</v>
      </c>
      <c r="AR9" s="403">
        <f>AN9*425</f>
        <v>17425</v>
      </c>
      <c r="AS9" s="403">
        <f>AO9*425</f>
        <v>17425</v>
      </c>
      <c r="AT9" s="403">
        <f>(AS9+AR9-AQ9-AP9)*-1</f>
        <v>-1230</v>
      </c>
      <c r="AZ9" s="1408">
        <v>2027</v>
      </c>
      <c r="BA9" s="1409">
        <v>0.54</v>
      </c>
      <c r="BB9" s="1410" t="s">
        <v>678</v>
      </c>
      <c r="BC9" s="1410" t="s">
        <v>260</v>
      </c>
      <c r="BD9" s="1409">
        <v>0.54</v>
      </c>
      <c r="BE9" s="1495">
        <v>31</v>
      </c>
      <c r="BF9" s="1497"/>
      <c r="BG9" s="1498"/>
      <c r="BH9" s="1499"/>
    </row>
    <row r="10" spans="1:60" ht="13.5" thickTop="1" x14ac:dyDescent="0.2">
      <c r="A10" s="389"/>
      <c r="B10" s="2064" t="s">
        <v>390</v>
      </c>
      <c r="C10" s="2064"/>
      <c r="D10" s="2064"/>
      <c r="E10" s="389">
        <v>1.97</v>
      </c>
      <c r="F10" s="389">
        <v>2.4700000000000002</v>
      </c>
      <c r="G10" s="334">
        <v>2.4700000000000002</v>
      </c>
      <c r="H10" s="334">
        <v>2.4700000000000002</v>
      </c>
      <c r="I10" s="334">
        <v>2.4700000000000002</v>
      </c>
      <c r="J10" s="334">
        <v>2.4700000000000002</v>
      </c>
      <c r="K10" s="334">
        <v>2.4700000000000002</v>
      </c>
      <c r="L10" s="334">
        <v>2.8</v>
      </c>
      <c r="M10" s="334">
        <v>2.8</v>
      </c>
      <c r="N10" s="334">
        <v>3</v>
      </c>
      <c r="O10" s="334">
        <v>3</v>
      </c>
      <c r="P10" s="390">
        <v>3</v>
      </c>
      <c r="Q10" s="334">
        <v>3</v>
      </c>
      <c r="R10" s="390">
        <v>3</v>
      </c>
      <c r="S10" s="334">
        <v>3</v>
      </c>
      <c r="T10" s="391">
        <f>S10-R10</f>
        <v>0</v>
      </c>
      <c r="U10" s="392">
        <f>T10/R10</f>
        <v>0</v>
      </c>
      <c r="V10" s="398">
        <v>3</v>
      </c>
      <c r="W10" s="391">
        <f>V10-S10</f>
        <v>0</v>
      </c>
      <c r="X10" s="391">
        <f>V10-S10</f>
        <v>0</v>
      </c>
      <c r="Y10" s="398">
        <v>3</v>
      </c>
      <c r="Z10" s="399">
        <v>3</v>
      </c>
      <c r="AA10" s="399">
        <v>3</v>
      </c>
      <c r="AB10" s="404">
        <f>(3*AB5)+3</f>
        <v>3</v>
      </c>
      <c r="AC10" s="404">
        <f>(3*AC5)+3</f>
        <v>3</v>
      </c>
      <c r="AD10" s="404"/>
      <c r="AE10" s="404">
        <v>3.1</v>
      </c>
      <c r="AF10" s="404"/>
      <c r="AG10" s="1286">
        <v>3.1</v>
      </c>
      <c r="AH10" s="399">
        <v>3</v>
      </c>
      <c r="AI10" s="1364"/>
      <c r="AJ10" s="399"/>
      <c r="AK10" s="1447">
        <v>3.18</v>
      </c>
      <c r="AL10" s="3" t="s">
        <v>703</v>
      </c>
      <c r="AM10" s="401">
        <v>3</v>
      </c>
      <c r="AN10" s="402">
        <v>23449</v>
      </c>
      <c r="AO10" s="402">
        <v>13629</v>
      </c>
      <c r="AP10" s="403">
        <f>AM10*AN10</f>
        <v>70347</v>
      </c>
      <c r="AQ10" s="403">
        <f>AM10*AO10</f>
        <v>40887</v>
      </c>
      <c r="AR10" s="403">
        <f>AN10*3.1</f>
        <v>72691.900000000009</v>
      </c>
      <c r="AS10" s="403">
        <f>AO10*3.1</f>
        <v>42249.9</v>
      </c>
      <c r="AT10" s="403">
        <f>(AS10+AR10-AQ10-AP10)*-1</f>
        <v>-3707.8000000000175</v>
      </c>
    </row>
    <row r="11" spans="1:60" x14ac:dyDescent="0.2">
      <c r="A11" s="346"/>
      <c r="B11" s="346"/>
      <c r="C11" s="346"/>
      <c r="D11" s="346"/>
      <c r="E11" s="346"/>
      <c r="F11" s="346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45"/>
      <c r="R11" s="352"/>
      <c r="S11" s="345"/>
      <c r="T11" s="352"/>
      <c r="U11" s="406"/>
      <c r="V11" s="406"/>
      <c r="W11" s="406"/>
      <c r="X11" s="406"/>
      <c r="Y11" s="406"/>
      <c r="Z11" s="406"/>
      <c r="AA11" s="406"/>
      <c r="AB11" s="407"/>
      <c r="AC11" s="407"/>
      <c r="AD11" s="407"/>
      <c r="AE11" s="407"/>
      <c r="AF11" s="407"/>
      <c r="AG11" s="3"/>
      <c r="AH11" s="3"/>
      <c r="AI11" s="3"/>
      <c r="AJ11" s="1289"/>
      <c r="AK11" s="1289"/>
      <c r="AL11" s="3"/>
      <c r="AM11" s="371"/>
      <c r="AN11" s="371"/>
      <c r="AO11" s="371"/>
      <c r="AP11" s="371"/>
      <c r="AQ11" s="371"/>
      <c r="AR11" s="371"/>
      <c r="AS11" s="371"/>
      <c r="AT11" s="621">
        <f>SUM(AT9:AT10)</f>
        <v>-4937.8000000000175</v>
      </c>
    </row>
    <row r="12" spans="1:60" x14ac:dyDescent="0.2">
      <c r="A12" s="349" t="s">
        <v>391</v>
      </c>
      <c r="B12" s="346"/>
      <c r="C12" s="346"/>
      <c r="D12" s="346"/>
      <c r="E12" s="346"/>
      <c r="F12" s="346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45"/>
      <c r="R12" s="352"/>
      <c r="S12" s="345"/>
      <c r="T12" s="352" t="s">
        <v>0</v>
      </c>
      <c r="U12" s="406"/>
      <c r="V12" s="406"/>
      <c r="W12" s="406"/>
      <c r="X12" s="406"/>
      <c r="Y12" s="406"/>
      <c r="Z12" s="406"/>
      <c r="AA12" s="406"/>
      <c r="AB12" s="407"/>
      <c r="AC12" s="407"/>
      <c r="AD12" s="407"/>
      <c r="AE12" s="407"/>
      <c r="AF12" s="407"/>
      <c r="AG12" s="3"/>
      <c r="AH12" s="3"/>
      <c r="AI12" s="3"/>
      <c r="AJ12" s="1289"/>
      <c r="AK12" s="1289"/>
      <c r="AL12" s="3"/>
      <c r="AM12" s="408"/>
      <c r="AN12" s="3"/>
      <c r="AO12" s="3"/>
      <c r="AP12" s="102"/>
      <c r="AQ12" s="102"/>
      <c r="AR12" s="102"/>
      <c r="AS12" s="3"/>
      <c r="AU12" s="1319" t="s">
        <v>650</v>
      </c>
    </row>
    <row r="13" spans="1:60" x14ac:dyDescent="0.2">
      <c r="A13" s="346"/>
      <c r="B13" s="2064" t="s">
        <v>380</v>
      </c>
      <c r="C13" s="2064"/>
      <c r="D13" s="2064"/>
      <c r="E13" s="103">
        <v>275</v>
      </c>
      <c r="F13" s="103">
        <v>285</v>
      </c>
      <c r="G13" s="137">
        <v>263</v>
      </c>
      <c r="H13" s="409">
        <f t="shared" ref="H13:I15" si="0">H20/H7</f>
        <v>261.89779999999996</v>
      </c>
      <c r="I13" s="409">
        <f t="shared" si="0"/>
        <v>264.56669999999997</v>
      </c>
      <c r="J13" s="137">
        <v>260.85000000000002</v>
      </c>
      <c r="K13" s="137">
        <v>276.5</v>
      </c>
      <c r="L13" s="137">
        <v>271</v>
      </c>
      <c r="M13" s="137">
        <v>270</v>
      </c>
      <c r="N13" s="409">
        <f t="shared" ref="N13:O15" si="1">N20/N7</f>
        <v>273.54634999999996</v>
      </c>
      <c r="O13" s="409">
        <f t="shared" si="1"/>
        <v>322.42</v>
      </c>
      <c r="P13" s="410">
        <f>P20/P7</f>
        <v>374.25</v>
      </c>
      <c r="Q13" s="137">
        <v>386</v>
      </c>
      <c r="R13" s="410">
        <f>R20/R7</f>
        <v>318</v>
      </c>
      <c r="S13" s="137">
        <v>320</v>
      </c>
      <c r="T13" s="391">
        <f>S13-R13</f>
        <v>2</v>
      </c>
      <c r="U13" s="392">
        <f>T13/R13</f>
        <v>6.2893081761006293E-3</v>
      </c>
      <c r="V13" s="398">
        <v>330</v>
      </c>
      <c r="W13" s="411">
        <f>V13-S13</f>
        <v>10</v>
      </c>
      <c r="X13" s="411">
        <f>V13-S13</f>
        <v>10</v>
      </c>
      <c r="Y13" s="398">
        <v>321</v>
      </c>
      <c r="Z13" s="412">
        <v>330</v>
      </c>
      <c r="AA13" s="412">
        <v>330</v>
      </c>
      <c r="AB13" s="413">
        <v>330</v>
      </c>
      <c r="AC13" s="413">
        <v>345</v>
      </c>
      <c r="AD13" s="413">
        <v>329</v>
      </c>
      <c r="AE13" s="414">
        <v>320</v>
      </c>
      <c r="AF13" s="414">
        <v>338</v>
      </c>
      <c r="AG13" s="1283">
        <v>333</v>
      </c>
      <c r="AH13" s="415">
        <v>325</v>
      </c>
      <c r="AI13" s="415"/>
      <c r="AJ13" s="412">
        <v>339</v>
      </c>
      <c r="AK13" s="412">
        <v>333</v>
      </c>
      <c r="AL13" s="416"/>
      <c r="AM13" s="3"/>
      <c r="AN13" s="3"/>
      <c r="AO13" s="3"/>
      <c r="AP13" s="102"/>
      <c r="AQ13" s="102"/>
      <c r="AR13" s="102"/>
      <c r="AS13" s="3"/>
      <c r="AU13" s="1319">
        <v>338</v>
      </c>
    </row>
    <row r="14" spans="1:60" x14ac:dyDescent="0.2">
      <c r="A14" s="346"/>
      <c r="B14" s="2064" t="s">
        <v>387</v>
      </c>
      <c r="C14" s="2064"/>
      <c r="D14" s="2064"/>
      <c r="E14" s="103">
        <v>103</v>
      </c>
      <c r="F14" s="103">
        <v>103</v>
      </c>
      <c r="G14" s="137">
        <v>86</v>
      </c>
      <c r="H14" s="409">
        <f t="shared" si="0"/>
        <v>100</v>
      </c>
      <c r="I14" s="409">
        <f t="shared" si="0"/>
        <v>102</v>
      </c>
      <c r="J14" s="137">
        <v>102</v>
      </c>
      <c r="K14" s="137">
        <v>92</v>
      </c>
      <c r="L14" s="137">
        <v>100</v>
      </c>
      <c r="M14" s="137">
        <v>85</v>
      </c>
      <c r="N14" s="409">
        <f t="shared" si="1"/>
        <v>85.34</v>
      </c>
      <c r="O14" s="409">
        <f t="shared" si="1"/>
        <v>79.48</v>
      </c>
      <c r="P14" s="410">
        <f>P21/P8</f>
        <v>66</v>
      </c>
      <c r="Q14" s="137">
        <v>72</v>
      </c>
      <c r="R14" s="410">
        <f>R21/R8</f>
        <v>89</v>
      </c>
      <c r="S14" s="137">
        <v>110</v>
      </c>
      <c r="T14" s="391">
        <f>S14-R14</f>
        <v>21</v>
      </c>
      <c r="U14" s="392">
        <f>T14/R14</f>
        <v>0.23595505617977527</v>
      </c>
      <c r="V14" s="398">
        <v>130</v>
      </c>
      <c r="W14" s="411">
        <f>V14-S14</f>
        <v>20</v>
      </c>
      <c r="X14" s="417">
        <f>V14-S14</f>
        <v>20</v>
      </c>
      <c r="Y14" s="398">
        <v>145</v>
      </c>
      <c r="Z14" s="412">
        <v>161</v>
      </c>
      <c r="AA14" s="412">
        <v>161</v>
      </c>
      <c r="AB14" s="413">
        <v>168</v>
      </c>
      <c r="AC14" s="413">
        <v>165</v>
      </c>
      <c r="AD14" s="413">
        <v>189</v>
      </c>
      <c r="AE14" s="414">
        <v>195</v>
      </c>
      <c r="AF14" s="414">
        <v>200</v>
      </c>
      <c r="AG14" s="1283">
        <v>209</v>
      </c>
      <c r="AH14" s="3">
        <v>153</v>
      </c>
      <c r="AI14" s="3"/>
      <c r="AJ14" s="1289">
        <v>215</v>
      </c>
      <c r="AK14" s="1289">
        <v>210</v>
      </c>
      <c r="AL14" s="418"/>
      <c r="AM14" s="3"/>
      <c r="AN14" s="3"/>
      <c r="AO14" s="3"/>
      <c r="AP14" s="102"/>
      <c r="AQ14" s="102"/>
      <c r="AR14" s="102"/>
      <c r="AS14" s="3"/>
      <c r="AU14" s="1319">
        <v>208</v>
      </c>
    </row>
    <row r="15" spans="1:60" ht="13.5" thickBot="1" x14ac:dyDescent="0.25">
      <c r="A15" s="346"/>
      <c r="B15" s="2059" t="s">
        <v>392</v>
      </c>
      <c r="C15" s="2059"/>
      <c r="D15" s="2059"/>
      <c r="E15" s="419">
        <v>322</v>
      </c>
      <c r="F15" s="419">
        <v>322</v>
      </c>
      <c r="G15" s="420">
        <v>254</v>
      </c>
      <c r="H15" s="421">
        <f t="shared" si="0"/>
        <v>273.71620253164554</v>
      </c>
      <c r="I15" s="421">
        <f t="shared" si="0"/>
        <v>273.43037974683546</v>
      </c>
      <c r="J15" s="420">
        <v>320.52</v>
      </c>
      <c r="K15" s="420">
        <v>307.5</v>
      </c>
      <c r="L15" s="420">
        <v>320</v>
      </c>
      <c r="M15" s="420">
        <v>319.98</v>
      </c>
      <c r="N15" s="421">
        <f t="shared" si="1"/>
        <v>337.02439024390242</v>
      </c>
      <c r="O15" s="421">
        <f t="shared" si="1"/>
        <v>319.79268292682929</v>
      </c>
      <c r="P15" s="422">
        <f>P22/P9</f>
        <v>339.21951219512198</v>
      </c>
      <c r="Q15" s="420">
        <v>348</v>
      </c>
      <c r="R15" s="422">
        <f>R22/R9</f>
        <v>331.71951219512198</v>
      </c>
      <c r="S15" s="420">
        <v>375</v>
      </c>
      <c r="T15" s="423">
        <f>S15-R15</f>
        <v>43.280487804878021</v>
      </c>
      <c r="U15" s="424">
        <f>T15/R15</f>
        <v>0.13047314436969221</v>
      </c>
      <c r="V15" s="425">
        <v>385</v>
      </c>
      <c r="W15" s="426">
        <f>V15-S15</f>
        <v>10</v>
      </c>
      <c r="X15" s="427">
        <f>V15-S15</f>
        <v>10</v>
      </c>
      <c r="Y15" s="425">
        <v>380</v>
      </c>
      <c r="Z15" s="428">
        <v>402</v>
      </c>
      <c r="AA15" s="428">
        <v>413</v>
      </c>
      <c r="AB15" s="429">
        <v>402</v>
      </c>
      <c r="AC15" s="429">
        <v>395</v>
      </c>
      <c r="AD15" s="429">
        <v>369</v>
      </c>
      <c r="AE15" s="430">
        <v>355</v>
      </c>
      <c r="AF15" s="430">
        <v>360</v>
      </c>
      <c r="AG15" s="1284">
        <v>342</v>
      </c>
      <c r="AH15" s="431">
        <v>408</v>
      </c>
      <c r="AI15" s="41"/>
      <c r="AJ15" s="1402">
        <v>363</v>
      </c>
      <c r="AK15" s="1402">
        <v>347</v>
      </c>
      <c r="AL15" s="416"/>
      <c r="AM15" s="3"/>
      <c r="AN15" s="3"/>
      <c r="AO15" s="3"/>
      <c r="AP15" s="102"/>
      <c r="AQ15" s="102"/>
      <c r="AR15" s="102"/>
      <c r="AS15" s="3"/>
      <c r="AU15" s="1319">
        <v>369</v>
      </c>
    </row>
    <row r="16" spans="1:60" ht="13.5" thickTop="1" x14ac:dyDescent="0.2">
      <c r="A16" s="346"/>
      <c r="B16" s="2093" t="s">
        <v>393</v>
      </c>
      <c r="C16" s="2093"/>
      <c r="D16" s="2093"/>
      <c r="E16" s="432">
        <f t="shared" ref="E16:S16" si="2">SUM(E13:E15)</f>
        <v>700</v>
      </c>
      <c r="F16" s="432">
        <f t="shared" si="2"/>
        <v>710</v>
      </c>
      <c r="G16" s="200">
        <f t="shared" si="2"/>
        <v>603</v>
      </c>
      <c r="H16" s="433">
        <f t="shared" si="2"/>
        <v>635.6140025316455</v>
      </c>
      <c r="I16" s="433">
        <f t="shared" si="2"/>
        <v>639.99707974683542</v>
      </c>
      <c r="J16" s="200">
        <f t="shared" si="2"/>
        <v>683.37</v>
      </c>
      <c r="K16" s="200">
        <f t="shared" si="2"/>
        <v>676</v>
      </c>
      <c r="L16" s="200">
        <f t="shared" si="2"/>
        <v>691</v>
      </c>
      <c r="M16" s="200">
        <f t="shared" si="2"/>
        <v>674.98</v>
      </c>
      <c r="N16" s="433">
        <f t="shared" si="2"/>
        <v>695.91074024390241</v>
      </c>
      <c r="O16" s="433">
        <f t="shared" si="2"/>
        <v>721.69268292682932</v>
      </c>
      <c r="P16" s="434">
        <f t="shared" si="2"/>
        <v>779.46951219512198</v>
      </c>
      <c r="Q16" s="200">
        <f t="shared" si="2"/>
        <v>806</v>
      </c>
      <c r="R16" s="434">
        <f t="shared" si="2"/>
        <v>738.71951219512198</v>
      </c>
      <c r="S16" s="200">
        <f t="shared" si="2"/>
        <v>805</v>
      </c>
      <c r="T16" s="435">
        <f>S16-R16</f>
        <v>66.280487804878021</v>
      </c>
      <c r="U16" s="436">
        <f>T16/R16</f>
        <v>8.9723483285183619E-2</v>
      </c>
      <c r="V16" s="437">
        <f>SUM(V13:V15)</f>
        <v>845</v>
      </c>
      <c r="W16" s="437">
        <f>SUM(W13:W15)</f>
        <v>40</v>
      </c>
      <c r="X16" s="437">
        <f>SUM(X13:X15)</f>
        <v>40</v>
      </c>
      <c r="Y16" s="437">
        <f>SUM(Y13:Y15)</f>
        <v>846</v>
      </c>
      <c r="Z16" s="438">
        <v>893</v>
      </c>
      <c r="AA16" s="438">
        <v>904</v>
      </c>
      <c r="AB16" s="438">
        <f t="shared" ref="AB16:AH16" si="3">SUM(AB13:AB15)</f>
        <v>900</v>
      </c>
      <c r="AC16" s="438">
        <f t="shared" si="3"/>
        <v>905</v>
      </c>
      <c r="AD16" s="438">
        <f t="shared" si="3"/>
        <v>887</v>
      </c>
      <c r="AE16" s="438">
        <f t="shared" si="3"/>
        <v>870</v>
      </c>
      <c r="AF16" s="438">
        <f t="shared" si="3"/>
        <v>898</v>
      </c>
      <c r="AG16" s="1287">
        <f t="shared" si="3"/>
        <v>884</v>
      </c>
      <c r="AH16" s="416">
        <f t="shared" si="3"/>
        <v>886</v>
      </c>
      <c r="AI16" s="416"/>
      <c r="AJ16" s="1401"/>
      <c r="AK16" s="1401">
        <f>SUM(AK13:AK15)</f>
        <v>890</v>
      </c>
      <c r="AL16" s="3"/>
      <c r="AM16" s="3"/>
      <c r="AN16" s="3"/>
      <c r="AO16" s="3"/>
      <c r="AP16" s="102"/>
      <c r="AQ16" s="102"/>
      <c r="AR16" s="102"/>
      <c r="AS16" s="3"/>
      <c r="AU16" s="1319">
        <f>SUM(AU13:AU15)</f>
        <v>915</v>
      </c>
    </row>
    <row r="17" spans="1:54" x14ac:dyDescent="0.2">
      <c r="A17" s="346"/>
      <c r="B17" s="2064" t="s">
        <v>394</v>
      </c>
      <c r="C17" s="2064"/>
      <c r="D17" s="2064"/>
      <c r="E17" s="103">
        <v>102600</v>
      </c>
      <c r="F17" s="103">
        <v>105400</v>
      </c>
      <c r="G17" s="137">
        <v>115268</v>
      </c>
      <c r="H17" s="409">
        <f>H23/H10</f>
        <v>116601.64777327934</v>
      </c>
      <c r="I17" s="409">
        <f>I23/I10</f>
        <v>117238.61538461538</v>
      </c>
      <c r="J17" s="137">
        <v>123129</v>
      </c>
      <c r="K17" s="137">
        <v>127719.7</v>
      </c>
      <c r="L17" s="137">
        <v>131501</v>
      </c>
      <c r="M17" s="137">
        <v>137725.49290000001</v>
      </c>
      <c r="N17" s="409">
        <f>N23/N10</f>
        <v>143050.51666666666</v>
      </c>
      <c r="O17" s="409">
        <f>O23/O10</f>
        <v>143875.33333333334</v>
      </c>
      <c r="P17" s="410">
        <f>P23/P10</f>
        <v>148870.66666666666</v>
      </c>
      <c r="Q17" s="137">
        <v>151250</v>
      </c>
      <c r="R17" s="410">
        <f>R23/R10</f>
        <v>152702</v>
      </c>
      <c r="S17" s="137">
        <v>161500</v>
      </c>
      <c r="T17" s="391">
        <f>S17-R17</f>
        <v>8798</v>
      </c>
      <c r="U17" s="392">
        <f>T17/R17</f>
        <v>5.761548637214968E-2</v>
      </c>
      <c r="V17" s="439">
        <v>170000</v>
      </c>
      <c r="W17" s="411">
        <f>V17-S17</f>
        <v>8500</v>
      </c>
      <c r="X17" s="440">
        <f>V17-S17</f>
        <v>8500</v>
      </c>
      <c r="Y17" s="439">
        <v>173195</v>
      </c>
      <c r="Z17" s="441">
        <v>178000</v>
      </c>
      <c r="AA17" s="441">
        <v>184000</v>
      </c>
      <c r="AB17" s="442">
        <v>196000</v>
      </c>
      <c r="AC17" s="442">
        <v>200000</v>
      </c>
      <c r="AD17" s="442">
        <v>207976</v>
      </c>
      <c r="AE17" s="442">
        <v>210000</v>
      </c>
      <c r="AF17" s="442">
        <v>216000</v>
      </c>
      <c r="AG17" s="1360">
        <v>214620</v>
      </c>
      <c r="AH17" s="443">
        <v>191432</v>
      </c>
      <c r="AI17" s="443"/>
      <c r="AJ17" s="1388"/>
      <c r="AK17" s="1388">
        <v>224000</v>
      </c>
      <c r="AL17" s="926"/>
      <c r="AM17" s="3"/>
      <c r="AN17" s="3"/>
      <c r="AO17" s="3"/>
      <c r="AP17" s="102"/>
      <c r="AQ17" s="102"/>
      <c r="AR17" s="102"/>
      <c r="AS17" s="3"/>
      <c r="AU17" s="1319">
        <v>215295</v>
      </c>
    </row>
    <row r="18" spans="1:54" x14ac:dyDescent="0.2">
      <c r="A18" s="346"/>
      <c r="B18" s="346"/>
      <c r="C18" s="346"/>
      <c r="D18" s="346"/>
      <c r="E18" s="104"/>
      <c r="F18" s="10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446"/>
      <c r="R18" s="445"/>
      <c r="S18" s="446"/>
      <c r="T18" s="444"/>
      <c r="U18" s="406"/>
      <c r="V18" s="406"/>
      <c r="W18" s="406"/>
      <c r="X18" s="406"/>
      <c r="Y18" s="406"/>
      <c r="Z18" s="406"/>
      <c r="AA18" s="406"/>
      <c r="AB18" s="407"/>
      <c r="AC18" s="407"/>
      <c r="AD18" s="407"/>
      <c r="AE18" s="447"/>
      <c r="AF18" s="447"/>
      <c r="AG18" s="3"/>
      <c r="AH18" s="3"/>
      <c r="AI18" s="3"/>
      <c r="AJ18" s="1289"/>
      <c r="AK18" s="1289"/>
      <c r="AL18" s="3"/>
      <c r="AM18" s="3"/>
      <c r="AN18" s="3"/>
      <c r="AO18" s="3"/>
      <c r="AP18" s="102"/>
      <c r="AQ18" s="102"/>
      <c r="AR18" s="102"/>
      <c r="AS18" s="3"/>
    </row>
    <row r="19" spans="1:54" x14ac:dyDescent="0.2">
      <c r="A19" s="346"/>
      <c r="B19" s="346"/>
      <c r="C19" s="346"/>
      <c r="D19" s="346"/>
      <c r="E19" s="104"/>
      <c r="F19" s="104"/>
      <c r="G19" s="444"/>
      <c r="H19" s="444"/>
      <c r="I19" s="444"/>
      <c r="J19" s="444"/>
      <c r="K19" s="444"/>
      <c r="L19" s="444"/>
      <c r="M19" s="444"/>
      <c r="N19" s="444"/>
      <c r="O19" s="444"/>
      <c r="P19" s="445"/>
      <c r="Q19" s="446"/>
      <c r="R19" s="445"/>
      <c r="S19" s="446"/>
      <c r="T19" s="444"/>
      <c r="U19" s="406"/>
      <c r="V19" s="406"/>
      <c r="W19" s="406"/>
      <c r="X19" s="406"/>
      <c r="Y19" s="406"/>
      <c r="Z19" s="406"/>
      <c r="AA19" s="406"/>
      <c r="AB19" s="407"/>
      <c r="AC19" s="407"/>
      <c r="AD19" s="407"/>
      <c r="AE19" s="447"/>
      <c r="AF19" s="447"/>
      <c r="AG19" s="180"/>
      <c r="AH19" s="448" t="s">
        <v>395</v>
      </c>
      <c r="AI19" s="1365"/>
      <c r="AJ19" s="1389"/>
      <c r="AK19" s="1389"/>
      <c r="AL19" s="3"/>
      <c r="AM19" s="3"/>
      <c r="AN19" s="3"/>
      <c r="AO19" s="3"/>
      <c r="AP19" s="449"/>
      <c r="AQ19" s="449"/>
      <c r="AR19" s="450"/>
      <c r="AS19" s="3"/>
      <c r="AU19" s="1368">
        <v>2021</v>
      </c>
      <c r="AV19" s="37" t="s">
        <v>659</v>
      </c>
    </row>
    <row r="20" spans="1:54" x14ac:dyDescent="0.2">
      <c r="A20" s="346"/>
      <c r="B20" s="2064" t="s">
        <v>380</v>
      </c>
      <c r="C20" s="2064"/>
      <c r="D20" s="2064"/>
      <c r="E20" s="103">
        <f t="shared" ref="E20:M22" si="4">+E7*E13</f>
        <v>55000</v>
      </c>
      <c r="F20" s="103">
        <f t="shared" si="4"/>
        <v>57000</v>
      </c>
      <c r="G20" s="137">
        <f t="shared" si="4"/>
        <v>52600</v>
      </c>
      <c r="H20" s="409">
        <v>52379.56</v>
      </c>
      <c r="I20" s="409">
        <v>52913.34</v>
      </c>
      <c r="J20" s="137">
        <f t="shared" si="4"/>
        <v>52170.000000000007</v>
      </c>
      <c r="K20" s="137">
        <f t="shared" si="4"/>
        <v>55300</v>
      </c>
      <c r="L20" s="137">
        <f>+L7*L13</f>
        <v>54200</v>
      </c>
      <c r="M20" s="137">
        <f t="shared" si="4"/>
        <v>54000</v>
      </c>
      <c r="N20" s="409">
        <v>54709.27</v>
      </c>
      <c r="O20" s="409">
        <v>64484</v>
      </c>
      <c r="P20" s="410">
        <v>74850</v>
      </c>
      <c r="Q20" s="137">
        <f>Q7*Q13</f>
        <v>77200</v>
      </c>
      <c r="R20" s="410">
        <v>63600</v>
      </c>
      <c r="S20" s="137">
        <v>65000</v>
      </c>
      <c r="T20" s="391">
        <f>S20-R20</f>
        <v>1400</v>
      </c>
      <c r="U20" s="392">
        <f>T20/R20</f>
        <v>2.20125786163522E-2</v>
      </c>
      <c r="V20" s="451">
        <f>V13*V7</f>
        <v>66000</v>
      </c>
      <c r="W20" s="411">
        <v>0</v>
      </c>
      <c r="X20" s="411">
        <v>0</v>
      </c>
      <c r="Y20" s="451">
        <f>Y13*Y7</f>
        <v>64200</v>
      </c>
      <c r="Z20" s="452">
        <v>66000</v>
      </c>
      <c r="AA20" s="452">
        <v>66000</v>
      </c>
      <c r="AB20" s="452">
        <f>AB13*AB7</f>
        <v>66000</v>
      </c>
      <c r="AC20" s="452">
        <v>86250</v>
      </c>
      <c r="AD20" s="452">
        <v>107530.99</v>
      </c>
      <c r="AE20" s="452">
        <f>AE13*AE7</f>
        <v>80000</v>
      </c>
      <c r="AF20" s="452">
        <v>83232</v>
      </c>
      <c r="AG20" s="1369">
        <f>AG7*AG13-AV20</f>
        <v>81550</v>
      </c>
      <c r="AH20" s="443">
        <v>64625.34</v>
      </c>
      <c r="AI20" s="443">
        <f>AG20-AV20</f>
        <v>79850</v>
      </c>
      <c r="AJ20" s="1388"/>
      <c r="AK20" s="1388">
        <v>83250</v>
      </c>
      <c r="AL20" s="3"/>
      <c r="AM20" s="3"/>
      <c r="AN20" s="3"/>
      <c r="AO20" s="3"/>
      <c r="AP20" s="3"/>
      <c r="AQ20" s="3"/>
      <c r="AR20" s="3"/>
      <c r="AS20" s="3"/>
      <c r="AU20" s="1366">
        <v>85000</v>
      </c>
      <c r="AV20" s="1353">
        <f>AU20*2%</f>
        <v>1700</v>
      </c>
    </row>
    <row r="21" spans="1:54" ht="31.5" customHeight="1" x14ac:dyDescent="0.2">
      <c r="A21" s="346"/>
      <c r="B21" s="2064" t="s">
        <v>396</v>
      </c>
      <c r="C21" s="2064"/>
      <c r="D21" s="2064"/>
      <c r="E21" s="103">
        <f t="shared" si="4"/>
        <v>20497</v>
      </c>
      <c r="F21" s="103">
        <f t="shared" si="4"/>
        <v>15450</v>
      </c>
      <c r="G21" s="137">
        <f t="shared" si="4"/>
        <v>12900</v>
      </c>
      <c r="H21" s="409">
        <v>15000</v>
      </c>
      <c r="I21" s="409">
        <v>15300</v>
      </c>
      <c r="J21" s="137">
        <f t="shared" si="4"/>
        <v>15300</v>
      </c>
      <c r="K21" s="137">
        <f t="shared" si="4"/>
        <v>13800</v>
      </c>
      <c r="L21" s="137">
        <f>+L8*L14</f>
        <v>15000</v>
      </c>
      <c r="M21" s="137">
        <f t="shared" si="4"/>
        <v>12750</v>
      </c>
      <c r="N21" s="409">
        <v>12801</v>
      </c>
      <c r="O21" s="409">
        <v>11922</v>
      </c>
      <c r="P21" s="410">
        <v>13200</v>
      </c>
      <c r="Q21" s="137">
        <f>Q8*Q14</f>
        <v>14400</v>
      </c>
      <c r="R21" s="410">
        <v>17800</v>
      </c>
      <c r="S21" s="137">
        <v>25000</v>
      </c>
      <c r="T21" s="391">
        <f>S21-R21</f>
        <v>7200</v>
      </c>
      <c r="U21" s="392">
        <f>T21/R21</f>
        <v>0.4044943820224719</v>
      </c>
      <c r="V21" s="453">
        <f>V14*V8</f>
        <v>26000</v>
      </c>
      <c r="W21" s="411">
        <v>4200</v>
      </c>
      <c r="X21" s="411">
        <v>4200</v>
      </c>
      <c r="Y21" s="453">
        <f>Y14*Y8</f>
        <v>29000</v>
      </c>
      <c r="Z21" s="454">
        <v>32200</v>
      </c>
      <c r="AA21" s="454">
        <v>32200</v>
      </c>
      <c r="AB21" s="454">
        <f>AB14*AB8</f>
        <v>33600</v>
      </c>
      <c r="AC21" s="454">
        <v>33000</v>
      </c>
      <c r="AD21" s="454"/>
      <c r="AE21" s="454">
        <f>AE14*AE8</f>
        <v>39000</v>
      </c>
      <c r="AF21" s="454">
        <v>41800</v>
      </c>
      <c r="AG21" s="1369">
        <f>AG14*AG8+1800-AV21</f>
        <v>43600</v>
      </c>
      <c r="AH21" s="443"/>
      <c r="AI21" s="443">
        <v>40000</v>
      </c>
      <c r="AJ21" s="1388"/>
      <c r="AK21" s="1388">
        <v>42000</v>
      </c>
      <c r="AL21" s="927" t="s">
        <v>690</v>
      </c>
      <c r="AM21" s="3"/>
      <c r="AN21" s="3"/>
      <c r="AO21" s="3"/>
      <c r="AP21" s="3"/>
      <c r="AQ21" s="3"/>
      <c r="AR21" s="3"/>
      <c r="AS21" s="3"/>
      <c r="AU21" s="1366">
        <v>40000</v>
      </c>
      <c r="AV21" s="1353">
        <v>0</v>
      </c>
      <c r="AW21" s="927"/>
    </row>
    <row r="22" spans="1:54" x14ac:dyDescent="0.2">
      <c r="A22" s="346"/>
      <c r="B22" s="2064" t="s">
        <v>658</v>
      </c>
      <c r="C22" s="2064"/>
      <c r="D22" s="2064"/>
      <c r="E22" s="103">
        <f t="shared" si="4"/>
        <v>122360</v>
      </c>
      <c r="F22" s="103">
        <f t="shared" si="4"/>
        <v>127190</v>
      </c>
      <c r="G22" s="137">
        <f t="shared" si="4"/>
        <v>100330</v>
      </c>
      <c r="H22" s="409">
        <v>108117.9</v>
      </c>
      <c r="I22" s="409">
        <v>108005</v>
      </c>
      <c r="J22" s="137">
        <f t="shared" si="4"/>
        <v>126605.4</v>
      </c>
      <c r="K22" s="137">
        <f t="shared" si="4"/>
        <v>121462.5</v>
      </c>
      <c r="L22" s="137">
        <f>+L9*L15</f>
        <v>126400</v>
      </c>
      <c r="M22" s="137">
        <f t="shared" si="4"/>
        <v>126392.1</v>
      </c>
      <c r="N22" s="409">
        <v>138180</v>
      </c>
      <c r="O22" s="409">
        <v>131115</v>
      </c>
      <c r="P22" s="410">
        <v>139080</v>
      </c>
      <c r="Q22" s="137">
        <f>Q9*Q15</f>
        <v>142680</v>
      </c>
      <c r="R22" s="410">
        <f>131905+4100</f>
        <v>136005</v>
      </c>
      <c r="S22" s="137">
        <f>S9*S15</f>
        <v>153750</v>
      </c>
      <c r="T22" s="391">
        <f>S22-R22</f>
        <v>17745</v>
      </c>
      <c r="U22" s="392">
        <f>T22/R22</f>
        <v>0.13047314436969229</v>
      </c>
      <c r="V22" s="453">
        <f>V15*V9</f>
        <v>157850</v>
      </c>
      <c r="W22" s="411">
        <v>22140</v>
      </c>
      <c r="X22" s="411">
        <v>22140</v>
      </c>
      <c r="Y22" s="453">
        <f>Y15*Y9</f>
        <v>155800</v>
      </c>
      <c r="Z22" s="454">
        <v>164820</v>
      </c>
      <c r="AA22" s="454">
        <v>169330</v>
      </c>
      <c r="AB22" s="454">
        <f>AB15*AB9</f>
        <v>164820</v>
      </c>
      <c r="AC22" s="454">
        <v>161950</v>
      </c>
      <c r="AD22" s="454">
        <v>134744.51</v>
      </c>
      <c r="AE22" s="455">
        <f>AE15*AE9+AT9</f>
        <v>149645</v>
      </c>
      <c r="AF22" s="454">
        <v>144938</v>
      </c>
      <c r="AG22" s="1370">
        <f>AG15*AG9-AV22</f>
        <v>137700</v>
      </c>
      <c r="AH22" s="443">
        <v>120576</v>
      </c>
      <c r="AI22" s="443">
        <f>AG22-AV22</f>
        <v>130050</v>
      </c>
      <c r="AJ22" s="1388"/>
      <c r="AK22" s="1388">
        <f>(AK15/12)*(AK9*12)-100</f>
        <v>147722</v>
      </c>
      <c r="AL22" s="1361"/>
      <c r="AM22" s="456"/>
      <c r="AN22" s="456"/>
      <c r="AO22" s="3"/>
      <c r="AP22" s="3"/>
      <c r="AQ22" s="3"/>
      <c r="AR22" s="3"/>
      <c r="AS22" s="3"/>
      <c r="AU22" s="1366">
        <v>153000</v>
      </c>
      <c r="AV22" s="1353">
        <f>AU22*5%</f>
        <v>7650</v>
      </c>
    </row>
    <row r="23" spans="1:54" ht="15.75" thickBot="1" x14ac:dyDescent="0.3">
      <c r="A23" s="346"/>
      <c r="B23" s="2059" t="s">
        <v>390</v>
      </c>
      <c r="C23" s="2059"/>
      <c r="D23" s="2059"/>
      <c r="E23" s="419">
        <f>+E10*E17</f>
        <v>202122</v>
      </c>
      <c r="F23" s="419">
        <f>+F10*F17</f>
        <v>260338.00000000003</v>
      </c>
      <c r="G23" s="420">
        <f>+G10*G17</f>
        <v>284711.96000000002</v>
      </c>
      <c r="H23" s="421">
        <v>288006.07</v>
      </c>
      <c r="I23" s="421">
        <v>289579.38</v>
      </c>
      <c r="J23" s="420">
        <f>+J10*J17</f>
        <v>304128.63</v>
      </c>
      <c r="K23" s="420">
        <f>+K10*K17</f>
        <v>315467.65900000004</v>
      </c>
      <c r="L23" s="420">
        <f>+L10*L17</f>
        <v>368202.8</v>
      </c>
      <c r="M23" s="420">
        <f>+M10*M17</f>
        <v>385631.38011999999</v>
      </c>
      <c r="N23" s="421">
        <v>429151.55</v>
      </c>
      <c r="O23" s="421">
        <v>431626</v>
      </c>
      <c r="P23" s="422">
        <v>446612</v>
      </c>
      <c r="Q23" s="420">
        <f>Q10*Q17</f>
        <v>453750</v>
      </c>
      <c r="R23" s="422">
        <f>443850+1422+12834</f>
        <v>458106</v>
      </c>
      <c r="S23" s="420">
        <f>S10*S17</f>
        <v>484500</v>
      </c>
      <c r="T23" s="423">
        <f>S23-R23</f>
        <v>26394</v>
      </c>
      <c r="U23" s="424">
        <f>T23/R23</f>
        <v>5.761548637214968E-2</v>
      </c>
      <c r="V23" s="457">
        <f>V17*V10</f>
        <v>510000</v>
      </c>
      <c r="W23" s="426">
        <v>16881</v>
      </c>
      <c r="X23" s="426">
        <v>16881</v>
      </c>
      <c r="Y23" s="457">
        <f>Y17*Y10</f>
        <v>519585</v>
      </c>
      <c r="Z23" s="458">
        <v>534000</v>
      </c>
      <c r="AA23" s="458">
        <v>552000</v>
      </c>
      <c r="AB23" s="458">
        <f>AB17*AB10</f>
        <v>588000</v>
      </c>
      <c r="AC23" s="458">
        <v>600000</v>
      </c>
      <c r="AD23" s="458">
        <v>597139.85</v>
      </c>
      <c r="AE23" s="459">
        <f>AE17*AE10+AT10</f>
        <v>647292.19999999995</v>
      </c>
      <c r="AF23" s="458">
        <v>658844.4</v>
      </c>
      <c r="AG23" s="1371">
        <f>(AG10)*(AG17)-AV23</f>
        <v>651744</v>
      </c>
      <c r="AH23" s="460">
        <v>422224.58</v>
      </c>
      <c r="AI23" s="443">
        <f>AG23-AV23</f>
        <v>638166</v>
      </c>
      <c r="AJ23" s="1400"/>
      <c r="AK23" s="1400">
        <f>AK17*AK10-AL23</f>
        <v>709044.44490322575</v>
      </c>
      <c r="AL23" s="1540">
        <f>BB23*0.08</f>
        <v>3275.5550967741938</v>
      </c>
      <c r="AM23" s="1541"/>
      <c r="AN23" s="1541"/>
      <c r="AO23" s="1542"/>
      <c r="AP23" s="1542"/>
      <c r="AQ23" s="1542"/>
      <c r="AR23" s="1542"/>
      <c r="AS23" s="1542"/>
      <c r="AT23" s="1543"/>
      <c r="AU23" s="1366">
        <v>678900</v>
      </c>
      <c r="AV23" s="1544">
        <f>AU23*2%</f>
        <v>13578</v>
      </c>
      <c r="AW23" s="1543">
        <f>(AG23-AF23)/AG23</f>
        <v>-1.0894461629105942E-2</v>
      </c>
      <c r="AX23" s="1543"/>
      <c r="AY23" s="1543"/>
      <c r="AZ23" s="1545">
        <v>78129.320000000007</v>
      </c>
      <c r="BA23" s="1545">
        <v>48798.44</v>
      </c>
      <c r="BB23" s="1546">
        <f>(AZ23+BA23)/3.1</f>
        <v>40944.438709677423</v>
      </c>
    </row>
    <row r="24" spans="1:54" ht="13.5" thickTop="1" x14ac:dyDescent="0.2">
      <c r="A24" s="346"/>
      <c r="B24" s="2081" t="s">
        <v>11</v>
      </c>
      <c r="C24" s="2081"/>
      <c r="D24" s="2081"/>
      <c r="E24" s="432">
        <f t="shared" ref="E24:S24" si="5">SUM(E20:E23)</f>
        <v>399979</v>
      </c>
      <c r="F24" s="432">
        <f t="shared" si="5"/>
        <v>459978</v>
      </c>
      <c r="G24" s="200">
        <f t="shared" si="5"/>
        <v>450541.96</v>
      </c>
      <c r="H24" s="433">
        <f t="shared" si="5"/>
        <v>463503.53</v>
      </c>
      <c r="I24" s="433">
        <f t="shared" si="5"/>
        <v>465797.72</v>
      </c>
      <c r="J24" s="200">
        <f t="shared" si="5"/>
        <v>498204.03</v>
      </c>
      <c r="K24" s="200">
        <f t="shared" si="5"/>
        <v>506030.15900000004</v>
      </c>
      <c r="L24" s="200">
        <f t="shared" si="5"/>
        <v>563802.80000000005</v>
      </c>
      <c r="M24" s="200">
        <f t="shared" si="5"/>
        <v>578773.48011999996</v>
      </c>
      <c r="N24" s="433">
        <f t="shared" si="5"/>
        <v>634841.81999999995</v>
      </c>
      <c r="O24" s="433">
        <f t="shared" si="5"/>
        <v>639147</v>
      </c>
      <c r="P24" s="434">
        <f t="shared" si="5"/>
        <v>673742</v>
      </c>
      <c r="Q24" s="200">
        <f t="shared" si="5"/>
        <v>688030</v>
      </c>
      <c r="R24" s="434">
        <f t="shared" si="5"/>
        <v>675511</v>
      </c>
      <c r="S24" s="200">
        <f t="shared" si="5"/>
        <v>728250</v>
      </c>
      <c r="T24" s="435">
        <f>S24-R24</f>
        <v>52739</v>
      </c>
      <c r="U24" s="436">
        <f>T24/R24</f>
        <v>7.8072747890115785E-2</v>
      </c>
      <c r="V24" s="461">
        <f>SUM(V20:V23)</f>
        <v>759850</v>
      </c>
      <c r="W24" s="462">
        <f>SUM(W21:W23)</f>
        <v>43221</v>
      </c>
      <c r="X24" s="462">
        <f>SUM(X21:X23)</f>
        <v>43221</v>
      </c>
      <c r="Y24" s="461">
        <f>SUM(Y20:Y23)</f>
        <v>768585</v>
      </c>
      <c r="Z24" s="463">
        <v>797020</v>
      </c>
      <c r="AA24" s="464">
        <v>819530</v>
      </c>
      <c r="AB24" s="464">
        <f>SUM(AB20:AB23)</f>
        <v>852420</v>
      </c>
      <c r="AC24" s="464">
        <v>881200</v>
      </c>
      <c r="AD24" s="464">
        <f t="shared" ref="AD24:AI24" si="6">SUM(AD20:AD23)</f>
        <v>839415.35</v>
      </c>
      <c r="AE24" s="464">
        <f t="shared" si="6"/>
        <v>915937.2</v>
      </c>
      <c r="AF24" s="1356">
        <f t="shared" si="6"/>
        <v>928814.4</v>
      </c>
      <c r="AG24" s="1372">
        <f t="shared" si="6"/>
        <v>914594</v>
      </c>
      <c r="AH24" s="443">
        <f t="shared" si="6"/>
        <v>607425.92000000004</v>
      </c>
      <c r="AI24" s="443">
        <f t="shared" si="6"/>
        <v>888066</v>
      </c>
      <c r="AJ24" s="1399"/>
      <c r="AK24" s="1399">
        <f>SUM(AK20:AK23)</f>
        <v>982016.44490322575</v>
      </c>
      <c r="AL24" s="1354"/>
      <c r="AM24" s="456"/>
      <c r="AN24" s="456"/>
      <c r="AO24" s="3"/>
      <c r="AP24" s="3"/>
      <c r="AQ24" s="3"/>
      <c r="AR24" s="3"/>
      <c r="AS24" s="3"/>
      <c r="AU24" s="1367">
        <v>956900</v>
      </c>
      <c r="AV24" s="1362"/>
    </row>
    <row r="25" spans="1:54" x14ac:dyDescent="0.2">
      <c r="A25" s="346"/>
      <c r="B25" s="346"/>
      <c r="C25" s="346"/>
      <c r="D25" s="346"/>
      <c r="E25" s="104"/>
      <c r="F25" s="10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446"/>
      <c r="R25" s="445"/>
      <c r="S25" s="446"/>
      <c r="T25" s="444"/>
      <c r="U25" s="406"/>
      <c r="V25" s="406"/>
      <c r="W25" s="406"/>
      <c r="X25" s="406"/>
      <c r="Y25" s="406"/>
      <c r="Z25" s="406"/>
      <c r="AA25" s="406"/>
      <c r="AB25" s="407"/>
      <c r="AC25" s="407"/>
      <c r="AD25" s="407"/>
      <c r="AE25" s="447"/>
      <c r="AF25" s="44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54" x14ac:dyDescent="0.2">
      <c r="A26" s="2085"/>
      <c r="B26" s="2086"/>
      <c r="C26" s="2086"/>
      <c r="D26" s="465"/>
      <c r="E26" s="105"/>
      <c r="F26" s="105"/>
      <c r="G26" s="106"/>
      <c r="H26" s="106"/>
      <c r="I26" s="106"/>
      <c r="J26" s="106"/>
      <c r="K26" s="106"/>
      <c r="L26" s="106"/>
      <c r="M26" s="106"/>
      <c r="N26" s="106"/>
      <c r="O26" s="106"/>
      <c r="P26" s="107"/>
      <c r="Q26" s="446"/>
      <c r="R26" s="107"/>
      <c r="S26" s="446"/>
      <c r="T26" s="444"/>
      <c r="U26" s="406"/>
      <c r="V26" s="406"/>
      <c r="W26" s="406"/>
      <c r="X26" s="406"/>
      <c r="Y26" s="406"/>
      <c r="Z26" s="406"/>
      <c r="AA26" s="406"/>
      <c r="AB26" s="407"/>
      <c r="AC26" s="407"/>
      <c r="AD26" s="407"/>
      <c r="AE26" s="447"/>
      <c r="AF26" s="44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54" x14ac:dyDescent="0.2">
      <c r="A27" s="346"/>
      <c r="B27" s="346"/>
      <c r="C27" s="466" t="s">
        <v>397</v>
      </c>
      <c r="D27" s="466"/>
      <c r="E27" s="103">
        <v>50</v>
      </c>
      <c r="F27" s="103">
        <v>50</v>
      </c>
      <c r="G27" s="409">
        <v>43</v>
      </c>
      <c r="H27" s="409">
        <v>68</v>
      </c>
      <c r="I27" s="409">
        <v>75</v>
      </c>
      <c r="J27" s="409">
        <v>73</v>
      </c>
      <c r="K27" s="409">
        <v>67</v>
      </c>
      <c r="L27" s="137">
        <v>59</v>
      </c>
      <c r="M27" s="137">
        <v>69</v>
      </c>
      <c r="N27" s="409">
        <f>N29/N28</f>
        <v>82</v>
      </c>
      <c r="O27" s="409">
        <f>O29/O28</f>
        <v>84</v>
      </c>
      <c r="P27" s="410">
        <f>P29/P28</f>
        <v>103</v>
      </c>
      <c r="Q27" s="137">
        <v>106</v>
      </c>
      <c r="R27" s="410">
        <v>80</v>
      </c>
      <c r="S27" s="137">
        <v>90</v>
      </c>
      <c r="T27" s="391">
        <f>S27-R27</f>
        <v>10</v>
      </c>
      <c r="U27" s="392">
        <f>T27/R27</f>
        <v>0.125</v>
      </c>
      <c r="V27" s="467">
        <v>95</v>
      </c>
      <c r="W27" s="391">
        <f>V27-S27</f>
        <v>5</v>
      </c>
      <c r="X27" s="391">
        <f>V27-S27</f>
        <v>5</v>
      </c>
      <c r="Y27" s="467"/>
      <c r="Z27" s="137">
        <v>90</v>
      </c>
      <c r="AA27" s="137">
        <v>102</v>
      </c>
      <c r="AB27" s="137">
        <v>120</v>
      </c>
      <c r="AC27" s="137">
        <v>100</v>
      </c>
      <c r="AD27" s="137"/>
      <c r="AE27" s="137">
        <v>100</v>
      </c>
      <c r="AF27" s="137"/>
      <c r="AG27" s="137">
        <v>100</v>
      </c>
      <c r="AH27" s="3"/>
      <c r="AI27" s="3"/>
      <c r="AJ27" s="1289"/>
      <c r="AK27" s="1289">
        <v>76</v>
      </c>
      <c r="AL27" s="3"/>
      <c r="AM27" s="3"/>
      <c r="AN27" s="3"/>
      <c r="AO27" s="3"/>
      <c r="AP27" s="3"/>
      <c r="AQ27" s="3"/>
      <c r="AR27" s="3"/>
      <c r="AS27" s="3"/>
    </row>
    <row r="28" spans="1:54" ht="13.5" thickBot="1" x14ac:dyDescent="0.25">
      <c r="A28" s="346"/>
      <c r="B28" s="346"/>
      <c r="C28" s="2087" t="s">
        <v>273</v>
      </c>
      <c r="D28" s="2088"/>
      <c r="E28" s="419">
        <v>50</v>
      </c>
      <c r="F28" s="419">
        <v>50</v>
      </c>
      <c r="G28" s="421">
        <v>50</v>
      </c>
      <c r="H28" s="421">
        <v>50</v>
      </c>
      <c r="I28" s="421">
        <v>50</v>
      </c>
      <c r="J28" s="421">
        <v>50</v>
      </c>
      <c r="K28" s="421">
        <v>50</v>
      </c>
      <c r="L28" s="420">
        <v>50</v>
      </c>
      <c r="M28" s="420">
        <v>50</v>
      </c>
      <c r="N28" s="421">
        <v>50</v>
      </c>
      <c r="O28" s="421">
        <v>50</v>
      </c>
      <c r="P28" s="422">
        <v>50</v>
      </c>
      <c r="Q28" s="420">
        <v>50</v>
      </c>
      <c r="R28" s="422">
        <v>50</v>
      </c>
      <c r="S28" s="420">
        <v>50</v>
      </c>
      <c r="T28" s="423">
        <f>S28-R28</f>
        <v>0</v>
      </c>
      <c r="U28" s="424">
        <f>T28/R28</f>
        <v>0</v>
      </c>
      <c r="V28" s="468">
        <v>50</v>
      </c>
      <c r="W28" s="423">
        <f>V28-S28</f>
        <v>0</v>
      </c>
      <c r="X28" s="423">
        <f>V28-S28</f>
        <v>0</v>
      </c>
      <c r="Y28" s="468">
        <v>50</v>
      </c>
      <c r="Z28" s="420">
        <v>50</v>
      </c>
      <c r="AA28" s="420">
        <v>50</v>
      </c>
      <c r="AB28" s="420">
        <v>50</v>
      </c>
      <c r="AC28" s="420">
        <v>50</v>
      </c>
      <c r="AD28" s="420"/>
      <c r="AE28" s="420">
        <v>50</v>
      </c>
      <c r="AF28" s="420"/>
      <c r="AG28" s="420">
        <v>50</v>
      </c>
      <c r="AH28" s="469"/>
      <c r="AI28" s="3"/>
      <c r="AJ28" s="1308"/>
      <c r="AK28" s="1308">
        <v>50</v>
      </c>
      <c r="AL28" s="3"/>
      <c r="AM28" s="3"/>
      <c r="AN28" s="3"/>
      <c r="AO28" s="3"/>
      <c r="AP28" s="3"/>
      <c r="AQ28" s="3"/>
      <c r="AR28" s="3"/>
      <c r="AS28" s="3"/>
    </row>
    <row r="29" spans="1:54" ht="13.5" thickTop="1" x14ac:dyDescent="0.2">
      <c r="A29" s="346"/>
      <c r="B29" s="346"/>
      <c r="C29" s="2089" t="s">
        <v>398</v>
      </c>
      <c r="D29" s="2090"/>
      <c r="E29" s="432">
        <f>E27*E28</f>
        <v>2500</v>
      </c>
      <c r="F29" s="432">
        <f>F27*F28</f>
        <v>2500</v>
      </c>
      <c r="G29" s="470">
        <f t="shared" ref="G29:M29" si="7">+G27*G28</f>
        <v>2150</v>
      </c>
      <c r="H29" s="470">
        <f t="shared" si="7"/>
        <v>3400</v>
      </c>
      <c r="I29" s="470">
        <f t="shared" si="7"/>
        <v>3750</v>
      </c>
      <c r="J29" s="470">
        <f t="shared" si="7"/>
        <v>3650</v>
      </c>
      <c r="K29" s="470">
        <f t="shared" si="7"/>
        <v>3350</v>
      </c>
      <c r="L29" s="471">
        <f t="shared" si="7"/>
        <v>2950</v>
      </c>
      <c r="M29" s="471">
        <f t="shared" si="7"/>
        <v>3450</v>
      </c>
      <c r="N29" s="470">
        <f>3950+150</f>
        <v>4100</v>
      </c>
      <c r="O29" s="470">
        <v>4200</v>
      </c>
      <c r="P29" s="472">
        <v>5150</v>
      </c>
      <c r="Q29" s="471">
        <f>+Q27*Q28</f>
        <v>5300</v>
      </c>
      <c r="R29" s="472">
        <f>R27*R28</f>
        <v>4000</v>
      </c>
      <c r="S29" s="471">
        <f>+S27*S28</f>
        <v>4500</v>
      </c>
      <c r="T29" s="435">
        <f>S29-R29</f>
        <v>500</v>
      </c>
      <c r="U29" s="436">
        <f>T29/R29</f>
        <v>0.125</v>
      </c>
      <c r="V29" s="473">
        <f t="shared" ref="V29:AB29" si="8">V27*V28</f>
        <v>4750</v>
      </c>
      <c r="W29" s="473">
        <f t="shared" si="8"/>
        <v>0</v>
      </c>
      <c r="X29" s="473">
        <f t="shared" si="8"/>
        <v>0</v>
      </c>
      <c r="Y29" s="473">
        <f t="shared" si="8"/>
        <v>0</v>
      </c>
      <c r="Z29" s="474">
        <v>4500</v>
      </c>
      <c r="AA29" s="474">
        <v>5100</v>
      </c>
      <c r="AB29" s="474">
        <f t="shared" si="8"/>
        <v>6000</v>
      </c>
      <c r="AC29" s="474">
        <v>5000</v>
      </c>
      <c r="AD29" s="474"/>
      <c r="AE29" s="474">
        <f>AE27*AE28</f>
        <v>5000</v>
      </c>
      <c r="AF29" s="474">
        <v>3350</v>
      </c>
      <c r="AG29" s="1288">
        <f>AG27*AG28</f>
        <v>5000</v>
      </c>
      <c r="AH29" s="3">
        <v>2400</v>
      </c>
      <c r="AI29" s="3"/>
      <c r="AJ29" s="1306"/>
      <c r="AK29" s="1306">
        <f>AK27*AK28</f>
        <v>3800</v>
      </c>
      <c r="AL29" s="3"/>
      <c r="AM29" s="3"/>
      <c r="AN29" s="3"/>
      <c r="AO29" s="3"/>
      <c r="AP29" s="3"/>
      <c r="AQ29" s="3"/>
      <c r="AR29" s="3"/>
      <c r="AS29" s="3"/>
    </row>
    <row r="30" spans="1:54" x14ac:dyDescent="0.2">
      <c r="A30" s="346"/>
      <c r="B30" s="346"/>
      <c r="C30" s="475"/>
      <c r="D30" s="475"/>
      <c r="E30" s="105"/>
      <c r="F30" s="105"/>
      <c r="G30" s="124"/>
      <c r="H30" s="124"/>
      <c r="I30" s="124"/>
      <c r="J30" s="124"/>
      <c r="K30" s="124"/>
      <c r="L30" s="476"/>
      <c r="M30" s="476"/>
      <c r="N30" s="124"/>
      <c r="O30" s="124"/>
      <c r="P30" s="476"/>
      <c r="Q30" s="477"/>
      <c r="R30" s="476"/>
      <c r="S30" s="477"/>
      <c r="T30" s="435"/>
      <c r="U30" s="436"/>
      <c r="V30" s="478"/>
      <c r="W30" s="479"/>
      <c r="X30" s="479"/>
      <c r="Y30" s="478"/>
      <c r="Z30" s="477"/>
      <c r="AA30" s="477"/>
      <c r="AB30" s="477"/>
      <c r="AC30" s="477"/>
      <c r="AD30" s="477"/>
      <c r="AE30" s="480"/>
      <c r="AF30" s="1357"/>
      <c r="AG30" s="3"/>
      <c r="AH30" s="3"/>
      <c r="AI30" s="3"/>
      <c r="AJ30" s="1289"/>
      <c r="AK30" s="1289"/>
      <c r="AL30" s="3"/>
      <c r="AM30" s="3"/>
      <c r="AN30" s="3"/>
      <c r="AO30" s="3"/>
      <c r="AP30" s="3"/>
      <c r="AQ30" s="3"/>
      <c r="AR30" s="3"/>
      <c r="AS30" s="3"/>
    </row>
    <row r="31" spans="1:54" x14ac:dyDescent="0.2">
      <c r="A31" s="346"/>
      <c r="B31" s="2064" t="s">
        <v>399</v>
      </c>
      <c r="C31" s="2064"/>
      <c r="D31" s="2064"/>
      <c r="E31" s="103">
        <f t="shared" ref="E31:M31" si="9">+E18*E24</f>
        <v>0</v>
      </c>
      <c r="F31" s="103">
        <f t="shared" si="9"/>
        <v>0</v>
      </c>
      <c r="G31" s="137">
        <f t="shared" si="9"/>
        <v>0</v>
      </c>
      <c r="H31" s="409">
        <v>52379.56</v>
      </c>
      <c r="I31" s="409">
        <v>52913.34</v>
      </c>
      <c r="J31" s="137">
        <f t="shared" si="9"/>
        <v>0</v>
      </c>
      <c r="K31" s="137">
        <f t="shared" si="9"/>
        <v>0</v>
      </c>
      <c r="L31" s="137">
        <f>+L18*L24</f>
        <v>0</v>
      </c>
      <c r="M31" s="137">
        <f t="shared" si="9"/>
        <v>0</v>
      </c>
      <c r="N31" s="409">
        <v>54709.27</v>
      </c>
      <c r="O31" s="409">
        <v>64484</v>
      </c>
      <c r="P31" s="410">
        <v>74850</v>
      </c>
      <c r="Q31" s="137">
        <f>Q18*Q24</f>
        <v>0</v>
      </c>
      <c r="R31" s="410">
        <v>63600</v>
      </c>
      <c r="S31" s="137">
        <v>65000</v>
      </c>
      <c r="T31" s="391">
        <f>S31-R31</f>
        <v>1400</v>
      </c>
      <c r="U31" s="392">
        <f>T31/R31</f>
        <v>2.20125786163522E-2</v>
      </c>
      <c r="V31" s="451">
        <f>V24*V18</f>
        <v>0</v>
      </c>
      <c r="W31" s="411">
        <v>0</v>
      </c>
      <c r="X31" s="411">
        <v>0</v>
      </c>
      <c r="Y31" s="451">
        <f>Y24*Y18</f>
        <v>0</v>
      </c>
      <c r="Z31" s="452">
        <v>0</v>
      </c>
      <c r="AA31" s="452">
        <v>0</v>
      </c>
      <c r="AB31" s="452">
        <f>AB24*AB18</f>
        <v>0</v>
      </c>
      <c r="AC31" s="452">
        <v>0</v>
      </c>
      <c r="AD31" s="452"/>
      <c r="AE31" s="481">
        <v>0</v>
      </c>
      <c r="AF31" s="481"/>
      <c r="AG31" s="1289">
        <f>0</f>
        <v>0</v>
      </c>
      <c r="AH31" s="3"/>
      <c r="AI31" s="3"/>
      <c r="AJ31" s="1289"/>
      <c r="AK31" s="1289"/>
      <c r="AL31" s="3"/>
      <c r="AM31" s="3"/>
      <c r="AN31" s="3"/>
      <c r="AO31" s="3"/>
      <c r="AP31" s="3"/>
      <c r="AQ31" s="3"/>
      <c r="AR31" s="3"/>
      <c r="AS31" s="3"/>
    </row>
    <row r="32" spans="1:54" x14ac:dyDescent="0.2">
      <c r="A32" s="346"/>
      <c r="B32" s="346"/>
      <c r="C32" s="346"/>
      <c r="D32" s="346"/>
      <c r="E32" s="104"/>
      <c r="F32" s="104"/>
      <c r="G32" s="444"/>
      <c r="H32" s="444"/>
      <c r="I32" s="444"/>
      <c r="J32" s="444"/>
      <c r="K32" s="444"/>
      <c r="L32" s="445"/>
      <c r="M32" s="444"/>
      <c r="N32" s="444"/>
      <c r="O32" s="445"/>
      <c r="P32" s="445"/>
      <c r="Q32" s="446"/>
      <c r="R32" s="445"/>
      <c r="S32" s="446"/>
      <c r="T32" s="391">
        <f>S32-R32</f>
        <v>0</v>
      </c>
      <c r="U32" s="392"/>
      <c r="V32" s="446"/>
      <c r="W32" s="391">
        <f>V32-S32</f>
        <v>0</v>
      </c>
      <c r="X32" s="391">
        <f>V32-S32</f>
        <v>0</v>
      </c>
      <c r="Y32" s="446"/>
      <c r="Z32" s="446"/>
      <c r="AA32" s="446"/>
      <c r="AB32" s="446"/>
      <c r="AC32" s="446"/>
      <c r="AD32" s="446"/>
      <c r="AE32" s="482"/>
      <c r="AF32" s="482"/>
      <c r="AG32" s="1289"/>
      <c r="AH32" s="3"/>
      <c r="AI32" s="3"/>
      <c r="AJ32" s="1289"/>
      <c r="AK32" s="1289"/>
      <c r="AL32" s="3"/>
      <c r="AM32" s="3"/>
      <c r="AN32" s="3"/>
      <c r="AO32" s="3"/>
      <c r="AP32" s="3"/>
      <c r="AQ32" s="3"/>
      <c r="AR32" s="3"/>
      <c r="AS32" s="3"/>
    </row>
    <row r="33" spans="1:48" x14ac:dyDescent="0.2">
      <c r="A33" s="2091" t="s">
        <v>400</v>
      </c>
      <c r="B33" s="2091"/>
      <c r="C33" s="2091"/>
      <c r="D33" s="2091"/>
      <c r="E33" s="483">
        <f t="shared" ref="E33:S33" si="10">+E24+E29</f>
        <v>402479</v>
      </c>
      <c r="F33" s="483">
        <f t="shared" si="10"/>
        <v>462478</v>
      </c>
      <c r="G33" s="483">
        <f t="shared" si="10"/>
        <v>452691.96</v>
      </c>
      <c r="H33" s="483">
        <f t="shared" si="10"/>
        <v>466903.53</v>
      </c>
      <c r="I33" s="483">
        <f t="shared" si="10"/>
        <v>469547.72</v>
      </c>
      <c r="J33" s="483">
        <f t="shared" si="10"/>
        <v>501854.03</v>
      </c>
      <c r="K33" s="483">
        <f t="shared" si="10"/>
        <v>509380.15900000004</v>
      </c>
      <c r="L33" s="483">
        <f t="shared" si="10"/>
        <v>566752.80000000005</v>
      </c>
      <c r="M33" s="483">
        <f t="shared" si="10"/>
        <v>582223.48011999996</v>
      </c>
      <c r="N33" s="483">
        <f t="shared" si="10"/>
        <v>638941.81999999995</v>
      </c>
      <c r="O33" s="483">
        <f t="shared" si="10"/>
        <v>643347</v>
      </c>
      <c r="P33" s="484">
        <f t="shared" si="10"/>
        <v>678892</v>
      </c>
      <c r="Q33" s="483">
        <f t="shared" si="10"/>
        <v>693330</v>
      </c>
      <c r="R33" s="484">
        <f t="shared" si="10"/>
        <v>679511</v>
      </c>
      <c r="S33" s="483">
        <f t="shared" si="10"/>
        <v>732750</v>
      </c>
      <c r="T33" s="485">
        <f>S33-R33</f>
        <v>53239</v>
      </c>
      <c r="U33" s="486">
        <f>T33/R33</f>
        <v>7.8348989199586175E-2</v>
      </c>
      <c r="V33" s="483">
        <f t="shared" ref="V33:AB33" si="11">+V24+V29</f>
        <v>764600</v>
      </c>
      <c r="W33" s="483">
        <f t="shared" si="11"/>
        <v>43221</v>
      </c>
      <c r="X33" s="483">
        <f t="shared" si="11"/>
        <v>43221</v>
      </c>
      <c r="Y33" s="483">
        <f t="shared" si="11"/>
        <v>768585</v>
      </c>
      <c r="Z33" s="487">
        <v>801520</v>
      </c>
      <c r="AA33" s="487">
        <v>824630</v>
      </c>
      <c r="AB33" s="487">
        <f t="shared" si="11"/>
        <v>858420</v>
      </c>
      <c r="AC33" s="487">
        <v>886200</v>
      </c>
      <c r="AD33" s="487"/>
      <c r="AE33" s="487">
        <f>+AE24+AE29</f>
        <v>920937.2</v>
      </c>
      <c r="AF33" s="487">
        <f>+AF24+AF29</f>
        <v>932164.4</v>
      </c>
      <c r="AG33" s="1290">
        <f>AG24+AG29</f>
        <v>919594</v>
      </c>
      <c r="AH33" s="443">
        <f>SUM(AH24:AH32)</f>
        <v>609825.92000000004</v>
      </c>
      <c r="AI33" s="443"/>
      <c r="AJ33" s="1388"/>
      <c r="AK33" s="1493">
        <f>AK24+AK29</f>
        <v>985816.44490322575</v>
      </c>
      <c r="AL33" s="3"/>
      <c r="AM33" s="3"/>
      <c r="AN33" s="3"/>
      <c r="AO33" s="3"/>
      <c r="AP33" s="3"/>
      <c r="AQ33" s="3"/>
      <c r="AR33" s="3"/>
      <c r="AS33" s="3"/>
    </row>
    <row r="34" spans="1:48" x14ac:dyDescent="0.2">
      <c r="A34" s="488" t="s">
        <v>401</v>
      </c>
      <c r="B34" s="346"/>
      <c r="C34" s="346"/>
      <c r="D34" s="346"/>
      <c r="E34" s="346"/>
      <c r="F34" s="346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45"/>
      <c r="R34" s="489"/>
      <c r="S34" s="345"/>
      <c r="T34" s="352"/>
      <c r="U34" s="406"/>
      <c r="V34" s="406"/>
      <c r="W34" s="406"/>
      <c r="X34" s="406"/>
      <c r="Y34" s="406"/>
      <c r="Z34" s="406"/>
      <c r="AA34" s="406"/>
      <c r="AB34" s="447"/>
      <c r="AC34" s="447"/>
      <c r="AD34" s="447"/>
      <c r="AE34" s="447"/>
      <c r="AF34" s="44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8" x14ac:dyDescent="0.2">
      <c r="A35" s="488"/>
      <c r="B35" s="346"/>
      <c r="C35" s="346"/>
      <c r="D35" s="346"/>
      <c r="E35" s="346"/>
      <c r="F35" s="346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45"/>
      <c r="R35" s="352"/>
      <c r="S35" s="345"/>
      <c r="T35" s="352"/>
      <c r="U35" s="406"/>
      <c r="V35" s="406"/>
      <c r="W35" s="406"/>
      <c r="X35" s="406"/>
      <c r="Y35" s="406"/>
      <c r="Z35" s="406"/>
      <c r="AA35" s="406"/>
      <c r="AB35" s="447"/>
      <c r="AC35" s="447"/>
      <c r="AD35" s="447"/>
      <c r="AE35" s="447"/>
      <c r="AF35" s="44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8" x14ac:dyDescent="0.2">
      <c r="A36" s="488"/>
      <c r="B36" s="346"/>
      <c r="C36" s="346"/>
      <c r="D36" s="346"/>
      <c r="E36" s="346"/>
      <c r="F36" s="346"/>
      <c r="G36" s="352"/>
      <c r="H36" s="352"/>
      <c r="I36" s="352"/>
      <c r="J36" s="352"/>
      <c r="K36" s="352"/>
      <c r="L36" s="352"/>
      <c r="M36" s="490" t="s">
        <v>402</v>
      </c>
      <c r="N36" s="490" t="s">
        <v>403</v>
      </c>
      <c r="O36" s="490" t="s">
        <v>404</v>
      </c>
      <c r="P36" s="352"/>
      <c r="Q36" s="345"/>
      <c r="R36" s="352"/>
      <c r="S36" s="345"/>
      <c r="T36" s="352"/>
      <c r="U36" s="406"/>
      <c r="V36" s="406"/>
      <c r="W36" s="406"/>
      <c r="X36" s="406"/>
      <c r="Y36" s="406"/>
      <c r="Z36" s="406"/>
      <c r="AA36" s="406"/>
      <c r="AB36" s="447"/>
      <c r="AC36" s="447"/>
      <c r="AD36" s="447"/>
      <c r="AE36" s="447"/>
      <c r="AF36" s="44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8" x14ac:dyDescent="0.2">
      <c r="A37" s="488"/>
      <c r="B37" s="2084"/>
      <c r="C37" s="2084"/>
      <c r="D37" s="2084"/>
      <c r="E37" s="346"/>
      <c r="F37" s="346"/>
      <c r="G37" s="352"/>
      <c r="H37" s="352"/>
      <c r="I37" s="352"/>
      <c r="J37" s="352"/>
      <c r="K37" s="352"/>
      <c r="L37" s="352"/>
      <c r="M37" s="334">
        <v>5200</v>
      </c>
      <c r="N37" s="334">
        <v>4800</v>
      </c>
      <c r="O37" s="334">
        <v>5000</v>
      </c>
      <c r="P37" s="352"/>
      <c r="Q37" s="345"/>
      <c r="R37" s="352"/>
      <c r="S37" s="345"/>
      <c r="T37" s="352"/>
      <c r="U37" s="406"/>
      <c r="V37" s="406"/>
      <c r="W37" s="406"/>
      <c r="X37" s="406"/>
      <c r="Y37" s="406"/>
      <c r="Z37" s="406"/>
      <c r="AA37" s="406"/>
      <c r="AB37" s="447"/>
      <c r="AC37" s="447"/>
      <c r="AD37" s="447"/>
      <c r="AE37" s="447"/>
      <c r="AF37" s="44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8" x14ac:dyDescent="0.2">
      <c r="A38" s="488"/>
      <c r="B38" s="2084"/>
      <c r="C38" s="2084"/>
      <c r="D38" s="2084"/>
      <c r="E38" s="346"/>
      <c r="F38" s="346"/>
      <c r="G38" s="352"/>
      <c r="H38" s="352"/>
      <c r="I38" s="352"/>
      <c r="J38" s="352"/>
      <c r="K38" s="352"/>
      <c r="L38" s="352"/>
      <c r="M38" s="334">
        <v>450</v>
      </c>
      <c r="N38" s="334">
        <v>1200</v>
      </c>
      <c r="O38" s="334">
        <v>1050</v>
      </c>
      <c r="P38" s="352"/>
      <c r="Q38" s="345"/>
      <c r="R38" s="352"/>
      <c r="S38" s="345"/>
      <c r="T38" s="352"/>
      <c r="U38" s="406"/>
      <c r="V38" s="406"/>
      <c r="W38" s="406"/>
      <c r="X38" s="406"/>
      <c r="Y38" s="406"/>
      <c r="Z38" s="406"/>
      <c r="AA38" s="406"/>
      <c r="AB38" s="447"/>
      <c r="AC38" s="447"/>
      <c r="AD38" s="447"/>
      <c r="AE38" s="447"/>
      <c r="AF38" s="44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8" x14ac:dyDescent="0.2">
      <c r="A39" s="488"/>
      <c r="B39" s="2084"/>
      <c r="C39" s="2084"/>
      <c r="D39" s="2084"/>
      <c r="E39" s="346"/>
      <c r="F39" s="346"/>
      <c r="G39" s="352"/>
      <c r="H39" s="352"/>
      <c r="I39" s="352"/>
      <c r="J39" s="352"/>
      <c r="K39" s="352"/>
      <c r="L39" s="352"/>
      <c r="M39" s="491">
        <v>13735</v>
      </c>
      <c r="N39" s="491">
        <v>18320</v>
      </c>
      <c r="O39" s="491">
        <v>22470</v>
      </c>
      <c r="P39" s="352"/>
      <c r="Q39" s="345"/>
      <c r="R39" s="352"/>
      <c r="S39" s="345"/>
      <c r="T39" s="352"/>
      <c r="U39" s="406"/>
      <c r="V39" s="406"/>
      <c r="W39" s="406"/>
      <c r="X39" s="406"/>
      <c r="Y39" s="406"/>
      <c r="Z39" s="406"/>
      <c r="AA39" s="406"/>
      <c r="AB39" s="447"/>
      <c r="AC39" s="447"/>
      <c r="AD39" s="447"/>
      <c r="AE39" s="447"/>
      <c r="AF39" s="44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8" x14ac:dyDescent="0.2">
      <c r="A40" s="488"/>
      <c r="B40" s="2084"/>
      <c r="C40" s="2084"/>
      <c r="D40" s="2084"/>
      <c r="E40" s="898"/>
      <c r="F40" s="389"/>
      <c r="G40" s="334"/>
      <c r="H40" s="334"/>
      <c r="I40" s="334"/>
      <c r="J40" s="334"/>
      <c r="K40" s="334"/>
      <c r="L40" s="334"/>
      <c r="M40" s="334">
        <v>34975</v>
      </c>
      <c r="N40" s="334">
        <v>30453</v>
      </c>
      <c r="O40" s="334">
        <v>30316</v>
      </c>
      <c r="P40" s="352"/>
      <c r="Q40" s="345"/>
      <c r="R40" s="352"/>
      <c r="S40" s="345"/>
      <c r="T40" s="352"/>
      <c r="U40" s="406"/>
      <c r="V40" s="406"/>
      <c r="W40" s="406"/>
      <c r="X40" s="406"/>
      <c r="Y40" s="406"/>
      <c r="Z40" s="406"/>
      <c r="AA40" s="406"/>
      <c r="AB40" s="447"/>
      <c r="AC40" s="447"/>
      <c r="AD40" s="447"/>
      <c r="AE40" s="447"/>
      <c r="AF40" s="44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8" ht="13.5" thickBot="1" x14ac:dyDescent="0.25">
      <c r="A41" s="488"/>
      <c r="B41" s="2084"/>
      <c r="C41" s="2084"/>
      <c r="D41" s="2084"/>
      <c r="E41" s="1291"/>
      <c r="F41" s="492"/>
      <c r="G41" s="493"/>
      <c r="H41" s="493"/>
      <c r="I41" s="493"/>
      <c r="J41" s="493"/>
      <c r="K41" s="493"/>
      <c r="L41" s="493"/>
      <c r="M41" s="493">
        <f>SUM(M37:M40)</f>
        <v>54360</v>
      </c>
      <c r="N41" s="493">
        <f>SUM(N37:N40)</f>
        <v>54773</v>
      </c>
      <c r="O41" s="493">
        <f>SUM(O37:O40)</f>
        <v>58836</v>
      </c>
      <c r="P41" s="352"/>
      <c r="Q41" s="345"/>
      <c r="R41" s="352"/>
      <c r="S41" s="345"/>
      <c r="T41" s="352"/>
      <c r="U41" s="406"/>
      <c r="V41" s="406"/>
      <c r="W41" s="406"/>
      <c r="X41" s="406"/>
      <c r="Y41" s="406"/>
      <c r="Z41" s="406"/>
      <c r="AA41" s="406"/>
      <c r="AB41" s="447"/>
      <c r="AC41" s="447"/>
      <c r="AD41" s="447"/>
      <c r="AE41" s="447"/>
      <c r="AF41" s="44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8" ht="13.5" thickTop="1" x14ac:dyDescent="0.2">
      <c r="A42" s="488"/>
      <c r="B42" s="475"/>
      <c r="C42" s="475"/>
      <c r="D42" s="475"/>
      <c r="E42" s="465"/>
      <c r="F42" s="465"/>
      <c r="G42" s="494"/>
      <c r="H42" s="494"/>
      <c r="I42" s="494"/>
      <c r="J42" s="494"/>
      <c r="K42" s="494"/>
      <c r="L42" s="494"/>
      <c r="M42" s="494"/>
      <c r="N42" s="494"/>
      <c r="O42" s="494"/>
      <c r="P42" s="352"/>
      <c r="Q42" s="345"/>
      <c r="R42" s="352"/>
      <c r="S42" s="345"/>
      <c r="T42" s="352"/>
      <c r="U42" s="406"/>
      <c r="V42" s="406"/>
      <c r="W42" s="406"/>
      <c r="X42" s="406"/>
      <c r="Y42" s="406"/>
      <c r="Z42" s="406"/>
      <c r="AA42" s="406"/>
      <c r="AB42" s="447"/>
      <c r="AC42" s="447"/>
      <c r="AD42" s="447"/>
      <c r="AE42" s="447"/>
      <c r="AF42" s="44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8" ht="18" x14ac:dyDescent="0.25">
      <c r="A43" s="382" t="s">
        <v>405</v>
      </c>
      <c r="B43" s="346"/>
      <c r="C43" s="346"/>
      <c r="D43" s="346"/>
      <c r="E43" s="346"/>
      <c r="F43" s="346"/>
      <c r="G43" s="352"/>
      <c r="H43" s="352"/>
      <c r="I43" s="352"/>
      <c r="J43" s="352"/>
      <c r="K43" s="352"/>
      <c r="L43" s="352"/>
      <c r="M43" s="374" t="s">
        <v>368</v>
      </c>
      <c r="N43" s="374" t="s">
        <v>368</v>
      </c>
      <c r="O43" s="374" t="s">
        <v>368</v>
      </c>
      <c r="P43" s="374" t="s">
        <v>368</v>
      </c>
      <c r="Q43" s="374" t="s">
        <v>274</v>
      </c>
      <c r="R43" s="374" t="s">
        <v>369</v>
      </c>
      <c r="S43" s="375" t="s">
        <v>274</v>
      </c>
      <c r="T43" s="374"/>
      <c r="U43" s="379" t="s">
        <v>370</v>
      </c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8" ht="13.5" thickBot="1" x14ac:dyDescent="0.25">
      <c r="A44" s="346"/>
      <c r="B44" s="346"/>
      <c r="C44" s="2079" t="s">
        <v>406</v>
      </c>
      <c r="D44" s="2080"/>
      <c r="E44" s="495">
        <v>2000</v>
      </c>
      <c r="F44" s="495">
        <v>2001</v>
      </c>
      <c r="G44" s="496">
        <v>2002</v>
      </c>
      <c r="H44" s="496">
        <f>+H3</f>
        <v>2003</v>
      </c>
      <c r="I44" s="496">
        <f>+I3</f>
        <v>2004</v>
      </c>
      <c r="J44" s="496">
        <f>+J3</f>
        <v>2005</v>
      </c>
      <c r="K44" s="496">
        <f>+K3</f>
        <v>2006</v>
      </c>
      <c r="L44" s="496">
        <f>+L3</f>
        <v>2007</v>
      </c>
      <c r="M44" s="497">
        <v>2008</v>
      </c>
      <c r="N44" s="497">
        <v>2009</v>
      </c>
      <c r="O44" s="497">
        <v>2010</v>
      </c>
      <c r="P44" s="497">
        <v>2011</v>
      </c>
      <c r="Q44" s="498">
        <v>2012</v>
      </c>
      <c r="R44" s="497">
        <v>2012</v>
      </c>
      <c r="S44" s="498">
        <v>2013</v>
      </c>
      <c r="T44" s="499" t="s">
        <v>366</v>
      </c>
      <c r="U44" s="392"/>
      <c r="V44" s="496">
        <v>2015</v>
      </c>
      <c r="W44" s="500" t="s">
        <v>366</v>
      </c>
      <c r="X44" s="501" t="s">
        <v>366</v>
      </c>
      <c r="Y44" s="496"/>
      <c r="Z44" s="502">
        <v>2016</v>
      </c>
      <c r="AA44" s="502">
        <v>2017</v>
      </c>
      <c r="AB44" s="502">
        <f>AB3</f>
        <v>2018</v>
      </c>
      <c r="AC44" s="502">
        <v>2019</v>
      </c>
      <c r="AD44" s="502"/>
      <c r="AE44" s="1292">
        <v>2020</v>
      </c>
      <c r="AF44" s="1292"/>
      <c r="AG44" s="502">
        <v>2021</v>
      </c>
      <c r="AH44" s="3"/>
      <c r="AI44" s="3"/>
      <c r="AJ44" s="1394" t="s">
        <v>670</v>
      </c>
      <c r="AK44" s="1394" t="s">
        <v>671</v>
      </c>
      <c r="AL44" s="3"/>
      <c r="AM44" s="3"/>
      <c r="AN44" s="3"/>
      <c r="AO44" s="3"/>
      <c r="AP44" s="3"/>
      <c r="AQ44" s="3"/>
      <c r="AR44" s="3"/>
      <c r="AS44" s="3"/>
    </row>
    <row r="45" spans="1:48" x14ac:dyDescent="0.2">
      <c r="A45" s="346"/>
      <c r="B45" s="346"/>
      <c r="C45" s="2064" t="s">
        <v>407</v>
      </c>
      <c r="D45" s="2064"/>
      <c r="E45" s="389">
        <v>47</v>
      </c>
      <c r="F45" s="389">
        <v>47</v>
      </c>
      <c r="G45" s="334">
        <v>47</v>
      </c>
      <c r="H45" s="334">
        <v>47</v>
      </c>
      <c r="I45" s="334">
        <v>47</v>
      </c>
      <c r="J45" s="334">
        <v>47</v>
      </c>
      <c r="K45" s="334">
        <v>47</v>
      </c>
      <c r="L45" s="334">
        <v>47</v>
      </c>
      <c r="M45" s="334">
        <v>47</v>
      </c>
      <c r="N45" s="334">
        <v>47</v>
      </c>
      <c r="O45" s="334">
        <v>47</v>
      </c>
      <c r="P45" s="390">
        <v>47</v>
      </c>
      <c r="Q45" s="334">
        <v>47</v>
      </c>
      <c r="R45" s="390">
        <v>47</v>
      </c>
      <c r="S45" s="390">
        <v>47</v>
      </c>
      <c r="T45" s="503">
        <f t="shared" ref="T45:T51" si="12">S45-R45</f>
        <v>0</v>
      </c>
      <c r="U45" s="392">
        <f t="shared" ref="U45:U51" si="13">T45/R45</f>
        <v>0</v>
      </c>
      <c r="V45" s="439">
        <v>47</v>
      </c>
      <c r="W45" s="504">
        <f>V45-S45</f>
        <v>0</v>
      </c>
      <c r="X45" s="504">
        <f>V45-S45</f>
        <v>0</v>
      </c>
      <c r="Y45" s="439">
        <v>47</v>
      </c>
      <c r="Z45" s="505">
        <v>47</v>
      </c>
      <c r="AA45" s="506">
        <v>47</v>
      </c>
      <c r="AB45" s="506">
        <v>47</v>
      </c>
      <c r="AC45" s="506">
        <v>47</v>
      </c>
      <c r="AD45" s="506"/>
      <c r="AE45" s="1293">
        <v>47</v>
      </c>
      <c r="AF45" s="1293"/>
      <c r="AG45" s="506">
        <v>47</v>
      </c>
      <c r="AH45" s="3"/>
      <c r="AI45" s="3"/>
      <c r="AJ45" s="1306"/>
      <c r="AK45" s="1306">
        <v>47</v>
      </c>
      <c r="AL45" s="3"/>
      <c r="AM45" s="3"/>
      <c r="AN45" s="3"/>
      <c r="AO45" s="3"/>
      <c r="AP45" s="3"/>
      <c r="AQ45" s="3"/>
      <c r="AR45" s="3"/>
      <c r="AS45" s="3"/>
    </row>
    <row r="46" spans="1:48" x14ac:dyDescent="0.2">
      <c r="A46" s="346"/>
      <c r="B46" s="346"/>
      <c r="C46" s="2064" t="s">
        <v>408</v>
      </c>
      <c r="D46" s="2064"/>
      <c r="E46" s="389">
        <v>57</v>
      </c>
      <c r="F46" s="389">
        <v>57</v>
      </c>
      <c r="G46" s="334">
        <v>57</v>
      </c>
      <c r="H46" s="334">
        <v>57</v>
      </c>
      <c r="I46" s="334">
        <v>57</v>
      </c>
      <c r="J46" s="334">
        <v>57</v>
      </c>
      <c r="K46" s="334">
        <v>57</v>
      </c>
      <c r="L46" s="334">
        <v>57</v>
      </c>
      <c r="M46" s="334">
        <v>57</v>
      </c>
      <c r="N46" s="334">
        <v>57</v>
      </c>
      <c r="O46" s="334">
        <v>57</v>
      </c>
      <c r="P46" s="390">
        <v>57</v>
      </c>
      <c r="Q46" s="334">
        <v>57</v>
      </c>
      <c r="R46" s="390">
        <v>57</v>
      </c>
      <c r="S46" s="390">
        <v>57</v>
      </c>
      <c r="T46" s="503">
        <f t="shared" si="12"/>
        <v>0</v>
      </c>
      <c r="U46" s="392">
        <f t="shared" si="13"/>
        <v>0</v>
      </c>
      <c r="V46" s="439">
        <v>57</v>
      </c>
      <c r="W46" s="504">
        <f t="shared" ref="W46:W51" si="14">V46-S46</f>
        <v>0</v>
      </c>
      <c r="X46" s="504">
        <f t="shared" ref="X46:X51" si="15">V46-S46</f>
        <v>0</v>
      </c>
      <c r="Y46" s="439">
        <v>57</v>
      </c>
      <c r="Z46" s="507">
        <v>57</v>
      </c>
      <c r="AA46" s="508">
        <v>57</v>
      </c>
      <c r="AB46" s="508">
        <v>57</v>
      </c>
      <c r="AC46" s="508">
        <v>57</v>
      </c>
      <c r="AD46" s="508"/>
      <c r="AE46" s="1294">
        <v>57</v>
      </c>
      <c r="AF46" s="1294"/>
      <c r="AG46" s="508">
        <v>57</v>
      </c>
      <c r="AH46" s="3"/>
      <c r="AI46" s="3"/>
      <c r="AJ46" s="1289"/>
      <c r="AK46" s="1289">
        <v>57</v>
      </c>
      <c r="AL46" s="3"/>
      <c r="AM46" s="3"/>
      <c r="AN46" s="3"/>
      <c r="AO46" s="3"/>
      <c r="AP46" s="3"/>
      <c r="AQ46" s="3"/>
      <c r="AR46" s="3"/>
      <c r="AS46" s="3"/>
    </row>
    <row r="47" spans="1:48" ht="13.5" thickBot="1" x14ac:dyDescent="0.25">
      <c r="A47" s="346"/>
      <c r="B47" s="346"/>
      <c r="C47" s="2059" t="s">
        <v>409</v>
      </c>
      <c r="D47" s="2059"/>
      <c r="E47" s="492">
        <v>0.09</v>
      </c>
      <c r="F47" s="492">
        <v>0.09</v>
      </c>
      <c r="G47" s="493">
        <v>0.09</v>
      </c>
      <c r="H47" s="493">
        <v>0.09</v>
      </c>
      <c r="I47" s="493">
        <v>0.15</v>
      </c>
      <c r="J47" s="493">
        <v>0.15</v>
      </c>
      <c r="K47" s="493">
        <v>0.15</v>
      </c>
      <c r="L47" s="493">
        <v>0.15</v>
      </c>
      <c r="M47" s="493">
        <v>0.15</v>
      </c>
      <c r="N47" s="493">
        <v>0.15</v>
      </c>
      <c r="O47" s="493">
        <v>0.15</v>
      </c>
      <c r="P47" s="509">
        <v>0.15</v>
      </c>
      <c r="Q47" s="493">
        <v>0.15</v>
      </c>
      <c r="R47" s="509">
        <v>0.15</v>
      </c>
      <c r="S47" s="509">
        <v>0.15</v>
      </c>
      <c r="T47" s="510">
        <f t="shared" si="12"/>
        <v>0</v>
      </c>
      <c r="U47" s="424">
        <f t="shared" si="13"/>
        <v>0</v>
      </c>
      <c r="V47" s="511">
        <v>0.15</v>
      </c>
      <c r="W47" s="512">
        <f t="shared" si="14"/>
        <v>0</v>
      </c>
      <c r="X47" s="512">
        <f t="shared" si="15"/>
        <v>0</v>
      </c>
      <c r="Y47" s="511">
        <v>0.15</v>
      </c>
      <c r="Z47" s="513">
        <v>0.15</v>
      </c>
      <c r="AA47" s="514">
        <v>0.15</v>
      </c>
      <c r="AB47" s="514">
        <v>0.15</v>
      </c>
      <c r="AC47" s="514">
        <v>0.15</v>
      </c>
      <c r="AD47" s="514"/>
      <c r="AE47" s="1295">
        <v>0.15</v>
      </c>
      <c r="AF47" s="1295"/>
      <c r="AG47" s="514">
        <v>0.15</v>
      </c>
      <c r="AH47" s="3"/>
      <c r="AI47" s="3"/>
      <c r="AJ47" s="1308"/>
      <c r="AK47" s="1308">
        <v>0.15</v>
      </c>
      <c r="AL47" s="1376" t="s">
        <v>661</v>
      </c>
      <c r="AM47" s="3"/>
      <c r="AN47" s="3"/>
      <c r="AO47" s="3"/>
      <c r="AP47" s="3"/>
      <c r="AQ47" s="3"/>
      <c r="AR47" s="3"/>
      <c r="AS47" s="3"/>
      <c r="AU47" s="1374"/>
      <c r="AV47" s="1319"/>
    </row>
    <row r="48" spans="1:48" ht="13.5" thickTop="1" x14ac:dyDescent="0.2">
      <c r="A48" s="346"/>
      <c r="B48" s="346"/>
      <c r="C48" s="2081" t="s">
        <v>410</v>
      </c>
      <c r="D48" s="2081"/>
      <c r="E48" s="515">
        <f t="shared" ref="E48:O48" si="16">(+E13+E14)*E45</f>
        <v>17766</v>
      </c>
      <c r="F48" s="515">
        <f t="shared" si="16"/>
        <v>18236</v>
      </c>
      <c r="G48" s="470">
        <f t="shared" si="16"/>
        <v>16403</v>
      </c>
      <c r="H48" s="470">
        <f t="shared" si="16"/>
        <v>17009.196599999999</v>
      </c>
      <c r="I48" s="470">
        <f t="shared" si="16"/>
        <v>17228.634899999997</v>
      </c>
      <c r="J48" s="470">
        <f t="shared" si="16"/>
        <v>17053.95</v>
      </c>
      <c r="K48" s="470">
        <f t="shared" si="16"/>
        <v>17319.5</v>
      </c>
      <c r="L48" s="471">
        <f t="shared" si="16"/>
        <v>17437</v>
      </c>
      <c r="M48" s="471">
        <f t="shared" si="16"/>
        <v>16685</v>
      </c>
      <c r="N48" s="516">
        <f t="shared" si="16"/>
        <v>16867.658449999999</v>
      </c>
      <c r="O48" s="516">
        <f t="shared" si="16"/>
        <v>18889.300000000003</v>
      </c>
      <c r="P48" s="517">
        <f>((+P13+P14)*P45)*0.98</f>
        <v>20277.915000000001</v>
      </c>
      <c r="Q48" s="517">
        <f>((+Q13+Q14)*Q45)*0.98</f>
        <v>21095.48</v>
      </c>
      <c r="R48" s="517">
        <f>((+R13+R14)*R45)*1.02</f>
        <v>19511.580000000002</v>
      </c>
      <c r="S48" s="517">
        <v>20210</v>
      </c>
      <c r="T48" s="518">
        <f t="shared" si="12"/>
        <v>698.41999999999825</v>
      </c>
      <c r="U48" s="436">
        <f t="shared" si="13"/>
        <v>3.5795153442212173E-2</v>
      </c>
      <c r="V48" s="519">
        <f>(V13+V14)*V45</f>
        <v>21620</v>
      </c>
      <c r="W48" s="520">
        <f t="shared" si="14"/>
        <v>1410</v>
      </c>
      <c r="X48" s="520">
        <f t="shared" si="15"/>
        <v>1410</v>
      </c>
      <c r="Y48" s="519">
        <f>(Y13+Y14)*Y45</f>
        <v>21902</v>
      </c>
      <c r="Z48" s="505">
        <v>23077</v>
      </c>
      <c r="AA48" s="506">
        <v>23077</v>
      </c>
      <c r="AB48" s="506">
        <f>(AB13+AB14)*AB45</f>
        <v>23406</v>
      </c>
      <c r="AC48" s="506">
        <v>23970</v>
      </c>
      <c r="AD48" s="506"/>
      <c r="AE48" s="1293">
        <f>(AE13+AE14)*AE45</f>
        <v>24205</v>
      </c>
      <c r="AF48" s="1293"/>
      <c r="AG48" s="1321">
        <f>(AG13+AG14+10)*AG45</f>
        <v>25944</v>
      </c>
      <c r="AH48" s="3"/>
      <c r="AI48" s="3"/>
      <c r="AJ48" s="1306"/>
      <c r="AK48" s="1306">
        <v>25521</v>
      </c>
      <c r="AL48" s="1320"/>
      <c r="AM48" s="3"/>
      <c r="AN48" s="3"/>
      <c r="AO48" s="3"/>
      <c r="AP48" s="3"/>
      <c r="AQ48" s="3"/>
      <c r="AR48" s="3"/>
      <c r="AS48" s="3"/>
      <c r="AU48" s="1375"/>
      <c r="AV48" s="1319"/>
    </row>
    <row r="49" spans="1:48" x14ac:dyDescent="0.2">
      <c r="A49" s="346"/>
      <c r="B49" s="346"/>
      <c r="C49" s="2064" t="s">
        <v>411</v>
      </c>
      <c r="D49" s="2064"/>
      <c r="E49" s="521">
        <f t="shared" ref="E49:O49" si="17">+E15*E46</f>
        <v>18354</v>
      </c>
      <c r="F49" s="521">
        <f t="shared" si="17"/>
        <v>18354</v>
      </c>
      <c r="G49" s="522">
        <f t="shared" si="17"/>
        <v>14478</v>
      </c>
      <c r="H49" s="522">
        <f t="shared" si="17"/>
        <v>15601.823544303796</v>
      </c>
      <c r="I49" s="522">
        <f t="shared" si="17"/>
        <v>15585.531645569621</v>
      </c>
      <c r="J49" s="522">
        <f t="shared" si="17"/>
        <v>18269.64</v>
      </c>
      <c r="K49" s="522">
        <f t="shared" si="17"/>
        <v>17527.5</v>
      </c>
      <c r="L49" s="108">
        <f t="shared" si="17"/>
        <v>18240</v>
      </c>
      <c r="M49" s="108">
        <f t="shared" si="17"/>
        <v>18238.86</v>
      </c>
      <c r="N49" s="523">
        <f t="shared" si="17"/>
        <v>19210.390243902439</v>
      </c>
      <c r="O49" s="108">
        <f t="shared" si="17"/>
        <v>18228.182926829268</v>
      </c>
      <c r="P49" s="524">
        <f>(+P15*P46)*0.98</f>
        <v>18948.801951219513</v>
      </c>
      <c r="Q49" s="524">
        <f>(+Q15*Q46)*0.98</f>
        <v>19439.28</v>
      </c>
      <c r="R49" s="524">
        <f>(+R15*R46)*1.02</f>
        <v>19286.172439024391</v>
      </c>
      <c r="S49" s="524">
        <v>21375</v>
      </c>
      <c r="T49" s="503">
        <f t="shared" si="12"/>
        <v>2088.8275609756092</v>
      </c>
      <c r="U49" s="392">
        <f t="shared" si="13"/>
        <v>0.10830700428401202</v>
      </c>
      <c r="V49" s="439">
        <f>V15*V46</f>
        <v>21945</v>
      </c>
      <c r="W49" s="504">
        <f t="shared" si="14"/>
        <v>570</v>
      </c>
      <c r="X49" s="504">
        <f t="shared" si="15"/>
        <v>570</v>
      </c>
      <c r="Y49" s="439">
        <f>Y15*Y46</f>
        <v>21660</v>
      </c>
      <c r="Z49" s="507">
        <v>22914</v>
      </c>
      <c r="AA49" s="508">
        <v>23541</v>
      </c>
      <c r="AB49" s="508">
        <f>AB46*AB15</f>
        <v>22914</v>
      </c>
      <c r="AC49" s="508">
        <v>22515</v>
      </c>
      <c r="AD49" s="508"/>
      <c r="AE49" s="1294">
        <f>AE46*AE15</f>
        <v>20235</v>
      </c>
      <c r="AF49" s="1294"/>
      <c r="AG49" s="1322">
        <f>AG46*(AG15+20)</f>
        <v>20634</v>
      </c>
      <c r="AH49" s="3"/>
      <c r="AI49" s="3"/>
      <c r="AJ49" s="1289"/>
      <c r="AK49" s="1289">
        <v>19779</v>
      </c>
      <c r="AL49" s="1320"/>
      <c r="AM49" s="3"/>
      <c r="AN49" s="3"/>
      <c r="AO49" s="3"/>
      <c r="AP49" s="3"/>
      <c r="AQ49" s="3"/>
      <c r="AR49" s="3"/>
      <c r="AS49" s="3"/>
      <c r="AU49" s="1375"/>
      <c r="AV49" s="1319"/>
    </row>
    <row r="50" spans="1:48" ht="13.5" thickBot="1" x14ac:dyDescent="0.25">
      <c r="A50" s="346"/>
      <c r="B50" s="346"/>
      <c r="C50" s="2059" t="s">
        <v>412</v>
      </c>
      <c r="D50" s="2059"/>
      <c r="E50" s="525">
        <f>+E47*E17</f>
        <v>9234</v>
      </c>
      <c r="F50" s="525">
        <f>+F47*F17</f>
        <v>9486</v>
      </c>
      <c r="G50" s="526">
        <v>10009</v>
      </c>
      <c r="H50" s="526">
        <f t="shared" ref="H50:O50" si="18">+H47*H17</f>
        <v>10494.148299595141</v>
      </c>
      <c r="I50" s="526">
        <f t="shared" si="18"/>
        <v>17585.792307692307</v>
      </c>
      <c r="J50" s="526">
        <f t="shared" si="18"/>
        <v>18469.349999999999</v>
      </c>
      <c r="K50" s="526">
        <f t="shared" si="18"/>
        <v>19157.954999999998</v>
      </c>
      <c r="L50" s="527">
        <f t="shared" si="18"/>
        <v>19725.149999999998</v>
      </c>
      <c r="M50" s="527">
        <f t="shared" si="18"/>
        <v>20658.823935</v>
      </c>
      <c r="N50" s="528">
        <f t="shared" si="18"/>
        <v>21457.577499999999</v>
      </c>
      <c r="O50" s="527">
        <f t="shared" si="18"/>
        <v>21581.3</v>
      </c>
      <c r="P50" s="529">
        <f>(+P47*P17)*0.98+0.84</f>
        <v>21884.827999999998</v>
      </c>
      <c r="Q50" s="529">
        <f>(+Q47*Q17)*0.9876</f>
        <v>22406.174999999999</v>
      </c>
      <c r="R50" s="529">
        <f>(+R47*R17)*1.02</f>
        <v>23363.405999999999</v>
      </c>
      <c r="S50" s="529">
        <v>24225</v>
      </c>
      <c r="T50" s="510">
        <f t="shared" si="12"/>
        <v>861.59400000000096</v>
      </c>
      <c r="U50" s="424">
        <f t="shared" si="13"/>
        <v>3.6877927815833059E-2</v>
      </c>
      <c r="V50" s="530">
        <f>V17*V47</f>
        <v>25500</v>
      </c>
      <c r="W50" s="512">
        <f t="shared" si="14"/>
        <v>1275</v>
      </c>
      <c r="X50" s="512">
        <f t="shared" si="15"/>
        <v>1275</v>
      </c>
      <c r="Y50" s="530">
        <f>Y17*Y47</f>
        <v>25979.25</v>
      </c>
      <c r="Z50" s="513">
        <v>26700</v>
      </c>
      <c r="AA50" s="514">
        <v>27600</v>
      </c>
      <c r="AB50" s="514">
        <f>AB47*AB17</f>
        <v>29400</v>
      </c>
      <c r="AC50" s="514">
        <v>30000</v>
      </c>
      <c r="AD50" s="514"/>
      <c r="AE50" s="1295">
        <f>AE47*AE17</f>
        <v>31500</v>
      </c>
      <c r="AF50" s="1295"/>
      <c r="AG50" s="1323">
        <f>AG47*AG17</f>
        <v>32193</v>
      </c>
      <c r="AH50" s="469"/>
      <c r="AI50" s="3"/>
      <c r="AJ50" s="1308"/>
      <c r="AK50" s="1308">
        <v>33600</v>
      </c>
      <c r="AL50" s="1320"/>
      <c r="AM50" s="3"/>
      <c r="AN50" s="3"/>
      <c r="AO50" s="3"/>
      <c r="AP50" s="3"/>
      <c r="AQ50" s="3"/>
      <c r="AR50" s="3"/>
      <c r="AS50" s="3"/>
      <c r="AU50" s="1375"/>
      <c r="AV50" s="1319"/>
    </row>
    <row r="51" spans="1:48" ht="13.5" thickTop="1" x14ac:dyDescent="0.2">
      <c r="A51" s="346"/>
      <c r="B51" s="346"/>
      <c r="C51" s="2081" t="s">
        <v>11</v>
      </c>
      <c r="D51" s="2081"/>
      <c r="E51" s="515">
        <f t="shared" ref="E51:M51" si="19">SUM(E48:E50)</f>
        <v>45354</v>
      </c>
      <c r="F51" s="515">
        <f t="shared" si="19"/>
        <v>46076</v>
      </c>
      <c r="G51" s="470">
        <f t="shared" si="19"/>
        <v>40890</v>
      </c>
      <c r="H51" s="470">
        <f t="shared" si="19"/>
        <v>43105.168443898932</v>
      </c>
      <c r="I51" s="470">
        <f t="shared" si="19"/>
        <v>50399.958853261924</v>
      </c>
      <c r="J51" s="470">
        <f t="shared" si="19"/>
        <v>53792.939999999995</v>
      </c>
      <c r="K51" s="470">
        <f t="shared" si="19"/>
        <v>54004.955000000002</v>
      </c>
      <c r="L51" s="471">
        <f t="shared" si="19"/>
        <v>55402.149999999994</v>
      </c>
      <c r="M51" s="471">
        <f t="shared" si="19"/>
        <v>55582.683935000001</v>
      </c>
      <c r="N51" s="471">
        <v>59779.03</v>
      </c>
      <c r="O51" s="471">
        <v>60841</v>
      </c>
      <c r="P51" s="472">
        <f>SUM(P48:P50)</f>
        <v>61111.544951219505</v>
      </c>
      <c r="Q51" s="471">
        <f>SUM(Q48:Q50)</f>
        <v>62940.934999999998</v>
      </c>
      <c r="R51" s="472">
        <f>SUM(R48:R50)</f>
        <v>62161.158439024395</v>
      </c>
      <c r="S51" s="472">
        <f>SUM(S48:S50)</f>
        <v>65810</v>
      </c>
      <c r="T51" s="518">
        <f t="shared" si="12"/>
        <v>3648.8415609756048</v>
      </c>
      <c r="U51" s="436">
        <f t="shared" si="13"/>
        <v>5.8699703361462525E-2</v>
      </c>
      <c r="V51" s="472">
        <f>SUM(V48:V50)</f>
        <v>69065</v>
      </c>
      <c r="W51" s="520">
        <f t="shared" si="14"/>
        <v>3255</v>
      </c>
      <c r="X51" s="520">
        <f t="shared" si="15"/>
        <v>3255</v>
      </c>
      <c r="Y51" s="472">
        <f>SUM(Y48:Y50)</f>
        <v>69541.25</v>
      </c>
      <c r="Z51" s="531">
        <f>SUM(Z48:Z50)</f>
        <v>72691</v>
      </c>
      <c r="AA51" s="531">
        <f>SUM(AA48:AA50)</f>
        <v>74218</v>
      </c>
      <c r="AB51" s="531">
        <f>SUM(AB48:AB50)</f>
        <v>75720</v>
      </c>
      <c r="AC51" s="531">
        <f>SUM(AC48:AC50)</f>
        <v>76485</v>
      </c>
      <c r="AD51" s="531"/>
      <c r="AE51" s="531">
        <f>SUM(AE48:AE50)</f>
        <v>75940</v>
      </c>
      <c r="AF51" s="531">
        <f>71188.02+6600.92</f>
        <v>77788.94</v>
      </c>
      <c r="AG51" s="1324">
        <f>SUM(AG48:AG50)</f>
        <v>78771</v>
      </c>
      <c r="AH51" s="102">
        <v>49494.45</v>
      </c>
      <c r="AI51" s="102"/>
      <c r="AJ51" s="42"/>
      <c r="AK51" s="1317">
        <f>SUM(AK48:AK50)</f>
        <v>78900</v>
      </c>
      <c r="AL51" s="544">
        <f>AG51/12</f>
        <v>6564.25</v>
      </c>
      <c r="AM51" s="102"/>
      <c r="AN51" s="102"/>
      <c r="AO51" s="102"/>
      <c r="AP51" s="3"/>
      <c r="AQ51" s="3"/>
      <c r="AR51" s="3"/>
      <c r="AS51" s="3"/>
      <c r="AU51" s="1375"/>
      <c r="AV51" s="1325">
        <f>AU51/12</f>
        <v>0</v>
      </c>
    </row>
    <row r="52" spans="1:48" ht="15.75" x14ac:dyDescent="0.25">
      <c r="A52" s="346"/>
      <c r="B52" s="346"/>
      <c r="C52" s="346"/>
      <c r="D52" s="346"/>
      <c r="E52" s="346"/>
      <c r="F52" s="346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45"/>
      <c r="R52" s="352"/>
      <c r="S52" s="345"/>
      <c r="T52" s="352"/>
      <c r="U52" s="406"/>
      <c r="V52" s="406"/>
      <c r="W52" s="406"/>
      <c r="X52" s="406"/>
      <c r="Y52" s="406"/>
      <c r="Z52" s="406"/>
      <c r="AA52" s="406"/>
      <c r="AB52" s="447"/>
      <c r="AC52" s="447"/>
      <c r="AD52" s="447"/>
      <c r="AE52" s="447"/>
      <c r="AF52" s="447"/>
      <c r="AG52" s="102"/>
      <c r="AH52" s="99"/>
      <c r="AI52" s="99"/>
      <c r="AJ52" s="99"/>
      <c r="AK52" s="99"/>
      <c r="AL52" s="102"/>
      <c r="AM52" s="102"/>
      <c r="AN52" s="166"/>
      <c r="AO52" s="166"/>
      <c r="AP52" s="3"/>
      <c r="AQ52" s="3"/>
      <c r="AR52" s="3"/>
      <c r="AS52" s="3"/>
    </row>
    <row r="53" spans="1:48" x14ac:dyDescent="0.2">
      <c r="A53" s="346"/>
      <c r="B53" s="346"/>
      <c r="C53" s="346"/>
      <c r="D53" s="346"/>
      <c r="E53" s="346"/>
      <c r="F53" s="346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45"/>
      <c r="R53" s="532"/>
      <c r="S53" s="345"/>
      <c r="T53" s="352"/>
      <c r="U53" s="406"/>
      <c r="V53" s="406"/>
      <c r="W53" s="406"/>
      <c r="X53" s="406"/>
      <c r="Y53" s="406"/>
      <c r="Z53" s="406"/>
      <c r="AA53" s="406"/>
      <c r="AB53" s="447"/>
      <c r="AC53" s="447"/>
      <c r="AD53" s="447"/>
      <c r="AE53" s="447"/>
      <c r="AF53" s="447"/>
      <c r="AG53" s="102"/>
      <c r="AH53" s="102"/>
      <c r="AI53" s="102"/>
      <c r="AJ53" s="102"/>
      <c r="AK53" s="102"/>
      <c r="AL53" s="101"/>
      <c r="AM53" s="101"/>
      <c r="AN53" s="102"/>
      <c r="AO53" s="102"/>
      <c r="AP53" s="3"/>
      <c r="AQ53" s="3"/>
      <c r="AR53" s="3"/>
      <c r="AS53" s="3"/>
    </row>
    <row r="54" spans="1:48" ht="13.5" thickBot="1" x14ac:dyDescent="0.25">
      <c r="A54" s="346"/>
      <c r="B54" s="346"/>
      <c r="C54" s="2082" t="s">
        <v>413</v>
      </c>
      <c r="D54" s="2082"/>
      <c r="E54" s="495">
        <v>2000</v>
      </c>
      <c r="F54" s="495">
        <v>2001</v>
      </c>
      <c r="G54" s="496">
        <v>2002</v>
      </c>
      <c r="H54" s="496">
        <f>+H3</f>
        <v>2003</v>
      </c>
      <c r="I54" s="496">
        <f>+I3</f>
        <v>2004</v>
      </c>
      <c r="J54" s="496">
        <f>+J3</f>
        <v>2005</v>
      </c>
      <c r="K54" s="496">
        <f>+K3</f>
        <v>2006</v>
      </c>
      <c r="L54" s="496">
        <f>+L3</f>
        <v>2007</v>
      </c>
      <c r="M54" s="497">
        <v>2008</v>
      </c>
      <c r="N54" s="497">
        <v>2009</v>
      </c>
      <c r="O54" s="497">
        <v>2010</v>
      </c>
      <c r="P54" s="497">
        <v>2011</v>
      </c>
      <c r="Q54" s="498">
        <v>2012</v>
      </c>
      <c r="R54" s="497">
        <v>2012</v>
      </c>
      <c r="S54" s="496">
        <v>2013</v>
      </c>
      <c r="T54" s="533" t="s">
        <v>366</v>
      </c>
      <c r="U54" s="392"/>
      <c r="V54" s="496">
        <v>2015</v>
      </c>
      <c r="W54" s="533" t="s">
        <v>366</v>
      </c>
      <c r="X54" s="533" t="s">
        <v>366</v>
      </c>
      <c r="Y54" s="496"/>
      <c r="Z54" s="502">
        <v>2016</v>
      </c>
      <c r="AA54" s="502">
        <v>2017</v>
      </c>
      <c r="AB54" s="502">
        <f>AB3</f>
        <v>2018</v>
      </c>
      <c r="AC54" s="502">
        <v>2019</v>
      </c>
      <c r="AD54" s="502"/>
      <c r="AE54" s="1292">
        <v>2020</v>
      </c>
      <c r="AF54" s="1292"/>
      <c r="AG54" s="502">
        <v>2021</v>
      </c>
      <c r="AH54" s="102"/>
      <c r="AI54" s="102"/>
      <c r="AJ54" s="1393" t="s">
        <v>670</v>
      </c>
      <c r="AK54" s="1393" t="s">
        <v>671</v>
      </c>
      <c r="AL54" s="101"/>
      <c r="AM54" s="101"/>
      <c r="AN54" s="534"/>
      <c r="AO54" s="534"/>
      <c r="AP54" s="3"/>
      <c r="AQ54" s="3"/>
      <c r="AR54" s="3"/>
      <c r="AS54" s="3"/>
    </row>
    <row r="55" spans="1:48" x14ac:dyDescent="0.2">
      <c r="A55" s="346"/>
      <c r="B55" s="346"/>
      <c r="C55" s="2082" t="s">
        <v>669</v>
      </c>
      <c r="D55" s="2082"/>
      <c r="E55" s="389">
        <v>30</v>
      </c>
      <c r="F55" s="389">
        <v>30</v>
      </c>
      <c r="G55" s="334">
        <v>30</v>
      </c>
      <c r="H55" s="334">
        <v>30</v>
      </c>
      <c r="I55" s="334">
        <v>30</v>
      </c>
      <c r="J55" s="334">
        <v>30</v>
      </c>
      <c r="K55" s="334">
        <v>30</v>
      </c>
      <c r="L55" s="334">
        <v>30</v>
      </c>
      <c r="M55" s="339">
        <v>30</v>
      </c>
      <c r="N55" s="339">
        <v>30</v>
      </c>
      <c r="O55" s="339">
        <v>30</v>
      </c>
      <c r="P55" s="535">
        <v>30</v>
      </c>
      <c r="Q55" s="339">
        <v>30</v>
      </c>
      <c r="R55" s="535">
        <v>30</v>
      </c>
      <c r="S55" s="339">
        <v>30</v>
      </c>
      <c r="T55" s="503">
        <f>S55-R55</f>
        <v>0</v>
      </c>
      <c r="U55" s="392">
        <f>T55/R55</f>
        <v>0</v>
      </c>
      <c r="V55" s="536">
        <v>30</v>
      </c>
      <c r="W55" s="537">
        <f>V55-S55</f>
        <v>0</v>
      </c>
      <c r="X55" s="537">
        <f>V55-S55</f>
        <v>0</v>
      </c>
      <c r="Y55" s="536">
        <v>30</v>
      </c>
      <c r="Z55" s="505">
        <v>30</v>
      </c>
      <c r="AA55" s="506">
        <v>30</v>
      </c>
      <c r="AB55" s="506">
        <v>30</v>
      </c>
      <c r="AC55" s="506">
        <v>30</v>
      </c>
      <c r="AD55" s="506"/>
      <c r="AE55" s="1293">
        <v>30</v>
      </c>
      <c r="AF55" s="1293"/>
      <c r="AG55" s="506">
        <v>31</v>
      </c>
      <c r="AH55" s="102"/>
      <c r="AI55" s="102"/>
      <c r="AJ55" s="42"/>
      <c r="AK55" s="1403">
        <v>31</v>
      </c>
      <c r="AL55" s="101"/>
      <c r="AM55" s="101"/>
      <c r="AN55" s="534"/>
      <c r="AO55" s="534"/>
      <c r="AP55" s="3"/>
      <c r="AQ55" s="3"/>
      <c r="AR55" s="3"/>
      <c r="AS55" s="3"/>
    </row>
    <row r="56" spans="1:48" ht="13.5" thickBot="1" x14ac:dyDescent="0.25">
      <c r="A56" s="346"/>
      <c r="B56" s="346"/>
      <c r="C56" s="2083" t="s">
        <v>414</v>
      </c>
      <c r="D56" s="2083"/>
      <c r="E56" s="492">
        <v>0.34</v>
      </c>
      <c r="F56" s="492">
        <v>0.34</v>
      </c>
      <c r="G56" s="493">
        <v>0.34</v>
      </c>
      <c r="H56" s="493">
        <v>0.36</v>
      </c>
      <c r="I56" s="493">
        <v>0.36</v>
      </c>
      <c r="J56" s="493">
        <v>0.36</v>
      </c>
      <c r="K56" s="493">
        <v>0.47</v>
      </c>
      <c r="L56" s="493">
        <v>0.47</v>
      </c>
      <c r="M56" s="538">
        <v>0.47</v>
      </c>
      <c r="N56" s="538">
        <v>0.47</v>
      </c>
      <c r="O56" s="538">
        <v>0.47</v>
      </c>
      <c r="P56" s="539">
        <v>0.47</v>
      </c>
      <c r="Q56" s="538">
        <v>0.47</v>
      </c>
      <c r="R56" s="539">
        <v>0.47</v>
      </c>
      <c r="S56" s="538">
        <v>0.47</v>
      </c>
      <c r="T56" s="510">
        <f>S56-R56</f>
        <v>0</v>
      </c>
      <c r="U56" s="424">
        <f>T56/R56</f>
        <v>0</v>
      </c>
      <c r="V56" s="540">
        <v>0.47</v>
      </c>
      <c r="W56" s="426">
        <f>V56-S56</f>
        <v>0</v>
      </c>
      <c r="X56" s="426">
        <f>V56-S56</f>
        <v>0</v>
      </c>
      <c r="Y56" s="540">
        <v>0.47</v>
      </c>
      <c r="Z56" s="513">
        <v>0.47</v>
      </c>
      <c r="AA56" s="514">
        <v>0.47</v>
      </c>
      <c r="AB56" s="514">
        <v>0.47</v>
      </c>
      <c r="AC56" s="514">
        <v>0.47</v>
      </c>
      <c r="AD56" s="514"/>
      <c r="AE56" s="1295">
        <v>0.47</v>
      </c>
      <c r="AF56" s="1358"/>
      <c r="AG56" s="508">
        <v>0.49</v>
      </c>
      <c r="AH56" s="102"/>
      <c r="AI56" s="102"/>
      <c r="AJ56" s="1297"/>
      <c r="AK56" s="1296">
        <f>0.5+0.05</f>
        <v>0.55000000000000004</v>
      </c>
      <c r="AL56" s="1404" t="s">
        <v>672</v>
      </c>
      <c r="AM56" s="101"/>
      <c r="AN56" s="534"/>
      <c r="AO56" s="534"/>
      <c r="AP56" s="3"/>
      <c r="AQ56" s="3"/>
      <c r="AR56" s="3"/>
      <c r="AS56" s="3"/>
    </row>
    <row r="57" spans="1:48" ht="13.5" thickTop="1" x14ac:dyDescent="0.2">
      <c r="A57" s="346"/>
      <c r="B57" s="346"/>
      <c r="C57" s="2077" t="s">
        <v>415</v>
      </c>
      <c r="D57" s="2078"/>
      <c r="E57" s="515">
        <f t="shared" ref="E57:J57" si="20">SUM(E13:E15)*E55</f>
        <v>21000</v>
      </c>
      <c r="F57" s="515">
        <f t="shared" si="20"/>
        <v>21300</v>
      </c>
      <c r="G57" s="470">
        <f t="shared" si="20"/>
        <v>18090</v>
      </c>
      <c r="H57" s="470">
        <f t="shared" si="20"/>
        <v>19068.420075949365</v>
      </c>
      <c r="I57" s="470">
        <f t="shared" si="20"/>
        <v>19199.912392405062</v>
      </c>
      <c r="J57" s="470">
        <f t="shared" si="20"/>
        <v>20501.099999999999</v>
      </c>
      <c r="K57" s="470">
        <f>K15*K55</f>
        <v>9225</v>
      </c>
      <c r="L57" s="471">
        <f>L15*L55</f>
        <v>9600</v>
      </c>
      <c r="M57" s="471">
        <f>M15*M55</f>
        <v>9599.4000000000015</v>
      </c>
      <c r="N57" s="471">
        <f>N15*N55</f>
        <v>10110.731707317073</v>
      </c>
      <c r="O57" s="471">
        <f>O15*O55</f>
        <v>9593.7804878048792</v>
      </c>
      <c r="P57" s="472">
        <f>(P15*P55)*1.02+38.73</f>
        <v>10418.847073170733</v>
      </c>
      <c r="Q57" s="472">
        <f>(Q15*Q55)</f>
        <v>10440</v>
      </c>
      <c r="R57" s="472">
        <f>(R15*R55)</f>
        <v>9951.5853658536598</v>
      </c>
      <c r="S57" s="472">
        <f>(S15*S55)</f>
        <v>11250</v>
      </c>
      <c r="T57" s="518">
        <f>S57-R57</f>
        <v>1298.4146341463402</v>
      </c>
      <c r="U57" s="541">
        <f>T57/R57</f>
        <v>0.13047314436969215</v>
      </c>
      <c r="V57" s="542">
        <f>(V13+V14)*V55</f>
        <v>13800</v>
      </c>
      <c r="W57" s="543">
        <f>V57-S57</f>
        <v>2550</v>
      </c>
      <c r="X57" s="543">
        <f>V57-S57</f>
        <v>2550</v>
      </c>
      <c r="Y57" s="542">
        <f>(Y13+Y14)*Y55</f>
        <v>13980</v>
      </c>
      <c r="Z57" s="505">
        <v>14730</v>
      </c>
      <c r="AA57" s="508">
        <v>14730</v>
      </c>
      <c r="AB57" s="508">
        <f>(AB13+AB14)*AB55</f>
        <v>14940</v>
      </c>
      <c r="AC57" s="508">
        <v>11850</v>
      </c>
      <c r="AD57" s="508"/>
      <c r="AE57" s="1294">
        <f>AE15*AE55</f>
        <v>10650</v>
      </c>
      <c r="AF57" s="1294"/>
      <c r="AG57" s="1296">
        <f>(AG55*AG15)</f>
        <v>10602</v>
      </c>
      <c r="AH57" s="102"/>
      <c r="AI57" s="102"/>
      <c r="AJ57" s="1297"/>
      <c r="AK57" s="1296">
        <f>(AK55*AK15)</f>
        <v>10757</v>
      </c>
      <c r="AL57" s="101"/>
      <c r="AM57" s="101"/>
      <c r="AN57" s="534"/>
      <c r="AO57" s="534"/>
      <c r="AP57" s="3"/>
      <c r="AQ57" s="3"/>
      <c r="AR57" s="3"/>
      <c r="AS57" s="3"/>
    </row>
    <row r="58" spans="1:48" ht="13.5" thickBot="1" x14ac:dyDescent="0.25">
      <c r="A58" s="346"/>
      <c r="B58" s="346"/>
      <c r="C58" s="2059" t="s">
        <v>390</v>
      </c>
      <c r="D58" s="2059"/>
      <c r="E58" s="525">
        <f>+E56*E17</f>
        <v>34884</v>
      </c>
      <c r="F58" s="525">
        <f>+F56*F17</f>
        <v>35836</v>
      </c>
      <c r="G58" s="526">
        <v>37811</v>
      </c>
      <c r="H58" s="526">
        <f t="shared" ref="H58:O58" si="21">+H56*H17</f>
        <v>41976.593198380564</v>
      </c>
      <c r="I58" s="526">
        <f t="shared" si="21"/>
        <v>42205.901538461534</v>
      </c>
      <c r="J58" s="526">
        <f t="shared" si="21"/>
        <v>44326.439999999995</v>
      </c>
      <c r="K58" s="526">
        <f t="shared" si="21"/>
        <v>60028.258999999998</v>
      </c>
      <c r="L58" s="527">
        <f t="shared" si="21"/>
        <v>61805.469999999994</v>
      </c>
      <c r="M58" s="527">
        <f t="shared" si="21"/>
        <v>64730.981662999999</v>
      </c>
      <c r="N58" s="527">
        <f t="shared" si="21"/>
        <v>67233.742833333323</v>
      </c>
      <c r="O58" s="527">
        <f t="shared" si="21"/>
        <v>67621.406666666662</v>
      </c>
      <c r="P58" s="529">
        <f>(+P56*P17)*1.02</f>
        <v>71368.597599999979</v>
      </c>
      <c r="Q58" s="529">
        <f>(+Q56*Q17)</f>
        <v>71087.5</v>
      </c>
      <c r="R58" s="529">
        <f>(+R56*R17)</f>
        <v>71769.94</v>
      </c>
      <c r="S58" s="529">
        <f>(+S56*S17)</f>
        <v>75905</v>
      </c>
      <c r="T58" s="510">
        <f>S58-R58</f>
        <v>4135.0599999999977</v>
      </c>
      <c r="U58" s="424">
        <f>T58/R58</f>
        <v>5.7615486372149645E-2</v>
      </c>
      <c r="V58" s="540">
        <f>V17*V56</f>
        <v>79900</v>
      </c>
      <c r="W58" s="426">
        <f>V58-S58</f>
        <v>3995</v>
      </c>
      <c r="X58" s="426">
        <f>V58-S58</f>
        <v>3995</v>
      </c>
      <c r="Y58" s="540">
        <f>Y17*Y56</f>
        <v>81401.649999999994</v>
      </c>
      <c r="Z58" s="513">
        <v>83660</v>
      </c>
      <c r="AA58" s="514">
        <v>86480</v>
      </c>
      <c r="AB58" s="514">
        <f>AB56*AB17</f>
        <v>92120</v>
      </c>
      <c r="AC58" s="514">
        <v>94000</v>
      </c>
      <c r="AD58" s="514"/>
      <c r="AE58" s="1295">
        <f>AE56*AE17</f>
        <v>98700</v>
      </c>
      <c r="AF58" s="1295"/>
      <c r="AG58" s="1318">
        <f>AG56*AG17</f>
        <v>105163.8</v>
      </c>
      <c r="AH58" s="545"/>
      <c r="AI58" s="102"/>
      <c r="AJ58" s="67"/>
      <c r="AK58" s="1318">
        <f>AK56*AK17</f>
        <v>123200.00000000001</v>
      </c>
      <c r="AL58" s="544">
        <f>(AG57+AG58)/12</f>
        <v>9647.15</v>
      </c>
      <c r="AM58" s="102"/>
      <c r="AN58" s="534"/>
      <c r="AO58" s="534"/>
      <c r="AP58" s="3"/>
      <c r="AQ58" s="3"/>
      <c r="AR58" s="3"/>
      <c r="AS58" s="3"/>
    </row>
    <row r="59" spans="1:48" ht="13.5" thickTop="1" x14ac:dyDescent="0.2">
      <c r="A59" s="346"/>
      <c r="B59" s="346"/>
      <c r="C59" s="2071"/>
      <c r="D59" s="2071"/>
      <c r="E59" s="470">
        <f t="shared" ref="E59:M59" si="22">+E57+E58</f>
        <v>55884</v>
      </c>
      <c r="F59" s="470">
        <f t="shared" si="22"/>
        <v>57136</v>
      </c>
      <c r="G59" s="470">
        <f t="shared" si="22"/>
        <v>55901</v>
      </c>
      <c r="H59" s="470">
        <f t="shared" si="22"/>
        <v>61045.013274329933</v>
      </c>
      <c r="I59" s="470">
        <f t="shared" si="22"/>
        <v>61405.8139308666</v>
      </c>
      <c r="J59" s="470">
        <f t="shared" si="22"/>
        <v>64827.539999999994</v>
      </c>
      <c r="K59" s="470">
        <f t="shared" si="22"/>
        <v>69253.258999999991</v>
      </c>
      <c r="L59" s="471">
        <f t="shared" si="22"/>
        <v>71405.47</v>
      </c>
      <c r="M59" s="471">
        <f t="shared" si="22"/>
        <v>74330.381663000007</v>
      </c>
      <c r="N59" s="471">
        <v>77124.899999999994</v>
      </c>
      <c r="O59" s="471">
        <v>77524</v>
      </c>
      <c r="P59" s="472">
        <f>SUM(P57:P58)</f>
        <v>81787.444673170714</v>
      </c>
      <c r="Q59" s="471">
        <f>+Q57+Q58</f>
        <v>81527.5</v>
      </c>
      <c r="R59" s="472">
        <f>SUM(R57:R58)</f>
        <v>81721.525365853668</v>
      </c>
      <c r="S59" s="472">
        <f>SUM(S57:S58)</f>
        <v>87155</v>
      </c>
      <c r="T59" s="518">
        <f>S59-R59</f>
        <v>5433.4746341463324</v>
      </c>
      <c r="U59" s="436">
        <f>T59/R59</f>
        <v>6.6487680079655526E-2</v>
      </c>
      <c r="V59" s="472">
        <f>SUM(V57:V58)</f>
        <v>93700</v>
      </c>
      <c r="W59" s="543">
        <f>V59-S59</f>
        <v>6545</v>
      </c>
      <c r="X59" s="543">
        <f>V59-S59</f>
        <v>6545</v>
      </c>
      <c r="Y59" s="472">
        <f>SUM(Y57:Y58)</f>
        <v>95381.65</v>
      </c>
      <c r="Z59" s="531">
        <v>98390</v>
      </c>
      <c r="AA59" s="531">
        <v>101210</v>
      </c>
      <c r="AB59" s="531">
        <f>SUM(AB57:AB58)</f>
        <v>107060</v>
      </c>
      <c r="AC59" s="531">
        <v>105850</v>
      </c>
      <c r="AD59" s="531"/>
      <c r="AE59" s="531">
        <f>SUM(AE57:AE58)</f>
        <v>109350</v>
      </c>
      <c r="AF59" s="531">
        <v>109231</v>
      </c>
      <c r="AG59" s="1317">
        <f>SUM(AG55:AG58)</f>
        <v>115797.29000000001</v>
      </c>
      <c r="AH59" s="546">
        <v>66942.38</v>
      </c>
      <c r="AI59" s="546"/>
      <c r="AJ59" s="1398"/>
      <c r="AK59" s="1449">
        <f>SUM(AK57:AK58)</f>
        <v>133957</v>
      </c>
      <c r="AL59" s="102"/>
      <c r="AM59" s="102"/>
      <c r="AN59" s="534"/>
      <c r="AO59" s="534"/>
      <c r="AP59" s="3"/>
      <c r="AQ59" s="3"/>
      <c r="AR59" s="3"/>
      <c r="AS59" s="3"/>
    </row>
    <row r="60" spans="1:48" x14ac:dyDescent="0.2">
      <c r="A60" s="346"/>
      <c r="B60" s="346"/>
      <c r="C60" s="346"/>
      <c r="D60" s="346"/>
      <c r="E60" s="346"/>
      <c r="F60" s="346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45"/>
      <c r="R60" s="352"/>
      <c r="S60" s="345"/>
      <c r="T60" s="352"/>
      <c r="U60" s="406"/>
      <c r="V60" s="406"/>
      <c r="W60" s="406"/>
      <c r="X60" s="406"/>
      <c r="Y60" s="406"/>
      <c r="Z60" s="406"/>
      <c r="AA60" s="406"/>
      <c r="AB60" s="447"/>
      <c r="AC60" s="447"/>
      <c r="AD60" s="447"/>
      <c r="AE60" s="447"/>
      <c r="AF60" s="447"/>
      <c r="AG60" s="102"/>
      <c r="AH60" s="102"/>
      <c r="AI60" s="102"/>
      <c r="AJ60" s="102"/>
      <c r="AK60" s="544"/>
      <c r="AL60" s="101"/>
      <c r="AM60" s="546"/>
      <c r="AN60" s="534"/>
      <c r="AO60" s="534"/>
      <c r="AP60" s="3"/>
      <c r="AQ60" s="3"/>
      <c r="AR60" s="3"/>
      <c r="AS60" s="3"/>
    </row>
    <row r="61" spans="1:48" x14ac:dyDescent="0.2">
      <c r="A61" s="346"/>
      <c r="B61" s="346"/>
      <c r="C61" s="346"/>
      <c r="D61" s="346"/>
      <c r="E61" s="346"/>
      <c r="F61" s="346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45"/>
      <c r="R61" s="352"/>
      <c r="S61" s="345"/>
      <c r="T61" s="352"/>
      <c r="U61" s="406"/>
      <c r="V61" s="406"/>
      <c r="W61" s="406"/>
      <c r="X61" s="406"/>
      <c r="Y61" s="406"/>
      <c r="Z61" s="406"/>
      <c r="AA61" s="406"/>
      <c r="AB61" s="447"/>
      <c r="AC61" s="447"/>
      <c r="AD61" s="447"/>
      <c r="AE61" s="447"/>
      <c r="AF61" s="447"/>
      <c r="AG61" s="102"/>
      <c r="AH61" s="102"/>
      <c r="AI61" s="102"/>
      <c r="AJ61" s="166"/>
      <c r="AK61" s="1450"/>
      <c r="AL61" s="101"/>
      <c r="AM61" s="546"/>
      <c r="AN61" s="534"/>
      <c r="AO61" s="534"/>
      <c r="AP61" s="3"/>
      <c r="AQ61" s="3"/>
      <c r="AR61" s="3"/>
      <c r="AS61" s="3"/>
    </row>
    <row r="62" spans="1:48" ht="13.5" thickBot="1" x14ac:dyDescent="0.25">
      <c r="A62" s="346"/>
      <c r="B62" s="346"/>
      <c r="C62" s="2072" t="s">
        <v>416</v>
      </c>
      <c r="D62" s="2072"/>
      <c r="E62" s="496">
        <v>2000</v>
      </c>
      <c r="F62" s="496">
        <v>2001</v>
      </c>
      <c r="G62" s="496">
        <v>2002</v>
      </c>
      <c r="H62" s="496">
        <f>+H3</f>
        <v>2003</v>
      </c>
      <c r="I62" s="496">
        <f>+I3</f>
        <v>2004</v>
      </c>
      <c r="J62" s="496">
        <f>+J3</f>
        <v>2005</v>
      </c>
      <c r="K62" s="496">
        <f>+K3</f>
        <v>2006</v>
      </c>
      <c r="L62" s="496">
        <f>+L3</f>
        <v>2007</v>
      </c>
      <c r="M62" s="497">
        <v>2008</v>
      </c>
      <c r="N62" s="497">
        <v>2009</v>
      </c>
      <c r="O62" s="497">
        <v>2010</v>
      </c>
      <c r="P62" s="497">
        <v>2011</v>
      </c>
      <c r="Q62" s="498">
        <v>2012</v>
      </c>
      <c r="R62" s="497">
        <v>2012</v>
      </c>
      <c r="S62" s="498">
        <v>2013</v>
      </c>
      <c r="T62" s="499" t="s">
        <v>366</v>
      </c>
      <c r="U62" s="406"/>
      <c r="V62" s="498">
        <v>2015</v>
      </c>
      <c r="W62" s="499" t="s">
        <v>366</v>
      </c>
      <c r="X62" s="533" t="s">
        <v>366</v>
      </c>
      <c r="Y62" s="498"/>
      <c r="Z62" s="502">
        <v>2016</v>
      </c>
      <c r="AA62" s="502">
        <v>2017</v>
      </c>
      <c r="AB62" s="502">
        <f>AB3</f>
        <v>2018</v>
      </c>
      <c r="AC62" s="502">
        <v>2019</v>
      </c>
      <c r="AD62" s="502"/>
      <c r="AE62" s="502">
        <v>2020</v>
      </c>
      <c r="AF62" s="502"/>
      <c r="AG62" s="502">
        <v>2021</v>
      </c>
      <c r="AH62" s="102"/>
      <c r="AI62" s="102"/>
      <c r="AJ62" s="659" t="s">
        <v>670</v>
      </c>
      <c r="AK62" s="1451" t="s">
        <v>671</v>
      </c>
      <c r="AL62" s="101"/>
      <c r="AM62" s="546"/>
      <c r="AN62" s="534"/>
      <c r="AO62" s="534"/>
      <c r="AP62" s="547"/>
      <c r="AQ62" s="547"/>
      <c r="AR62" s="547"/>
      <c r="AS62" s="547"/>
      <c r="AT62" s="548"/>
      <c r="AU62" s="548"/>
      <c r="AV62" s="548"/>
    </row>
    <row r="63" spans="1:48" x14ac:dyDescent="0.2">
      <c r="A63" s="346"/>
      <c r="B63" s="346"/>
      <c r="C63" s="2073" t="s">
        <v>417</v>
      </c>
      <c r="D63" s="2074"/>
      <c r="E63" s="334"/>
      <c r="F63" s="334"/>
      <c r="G63" s="549">
        <v>250</v>
      </c>
      <c r="H63" s="549">
        <v>250</v>
      </c>
      <c r="I63" s="549">
        <v>250</v>
      </c>
      <c r="J63" s="549">
        <v>0</v>
      </c>
      <c r="K63" s="549">
        <v>0</v>
      </c>
      <c r="L63" s="549">
        <v>0</v>
      </c>
      <c r="M63" s="549"/>
      <c r="N63" s="549"/>
      <c r="O63" s="549"/>
      <c r="P63" s="550">
        <v>0</v>
      </c>
      <c r="Q63" s="549">
        <v>100</v>
      </c>
      <c r="R63" s="550">
        <v>0</v>
      </c>
      <c r="S63" s="549">
        <v>0</v>
      </c>
      <c r="T63" s="551">
        <f t="shared" ref="T63:T75" si="23">S63-R63</f>
        <v>0</v>
      </c>
      <c r="U63" s="392">
        <v>0</v>
      </c>
      <c r="V63" s="552"/>
      <c r="W63" s="551">
        <f>V63-S63</f>
        <v>0</v>
      </c>
      <c r="X63" s="551">
        <f>V63-S63</f>
        <v>0</v>
      </c>
      <c r="Y63" s="552"/>
      <c r="Z63" s="553"/>
      <c r="AA63" s="553"/>
      <c r="AB63" s="554"/>
      <c r="AC63" s="554"/>
      <c r="AD63" s="1309"/>
      <c r="AE63" s="1309"/>
      <c r="AF63" s="1309"/>
      <c r="AG63" s="1310"/>
      <c r="AH63" s="102"/>
      <c r="AI63" s="102"/>
      <c r="AJ63" s="1390"/>
      <c r="AK63" s="1452"/>
      <c r="AL63" s="101"/>
      <c r="AM63" s="101"/>
      <c r="AN63" s="534"/>
      <c r="AO63" s="534"/>
      <c r="AP63" s="3"/>
      <c r="AQ63" s="3"/>
      <c r="AR63" s="3"/>
      <c r="AS63" s="3"/>
    </row>
    <row r="64" spans="1:48" x14ac:dyDescent="0.2">
      <c r="A64" s="346"/>
      <c r="B64" s="346"/>
      <c r="C64" s="2073" t="s">
        <v>418</v>
      </c>
      <c r="D64" s="2074"/>
      <c r="E64" s="334"/>
      <c r="F64" s="334"/>
      <c r="G64" s="549">
        <v>1035</v>
      </c>
      <c r="H64" s="549">
        <v>1035</v>
      </c>
      <c r="I64" s="549">
        <v>0</v>
      </c>
      <c r="J64" s="549">
        <v>0</v>
      </c>
      <c r="K64" s="549">
        <v>0</v>
      </c>
      <c r="L64" s="549">
        <v>0</v>
      </c>
      <c r="M64" s="549"/>
      <c r="N64" s="549"/>
      <c r="O64" s="549"/>
      <c r="P64" s="550">
        <v>758</v>
      </c>
      <c r="Q64" s="549">
        <v>800</v>
      </c>
      <c r="R64" s="550">
        <v>800</v>
      </c>
      <c r="S64" s="549">
        <v>800</v>
      </c>
      <c r="T64" s="555">
        <f t="shared" si="23"/>
        <v>0</v>
      </c>
      <c r="U64" s="392">
        <f>T64/R64</f>
        <v>0</v>
      </c>
      <c r="V64" s="552"/>
      <c r="W64" s="551">
        <f t="shared" ref="W64:W75" si="24">V64-S64</f>
        <v>-800</v>
      </c>
      <c r="X64" s="551">
        <f t="shared" ref="X64:X75" si="25">V64-S64</f>
        <v>-800</v>
      </c>
      <c r="Y64" s="552"/>
      <c r="Z64" s="556">
        <v>800</v>
      </c>
      <c r="AA64" s="557"/>
      <c r="AB64" s="557">
        <v>800</v>
      </c>
      <c r="AC64" s="557"/>
      <c r="AD64" s="557"/>
      <c r="AE64" s="558">
        <v>500</v>
      </c>
      <c r="AF64" s="558"/>
      <c r="AG64" s="1297">
        <f>0</f>
        <v>0</v>
      </c>
      <c r="AH64" s="102"/>
      <c r="AI64" s="102"/>
      <c r="AJ64" s="1297"/>
      <c r="AK64" s="1296"/>
      <c r="AL64" s="101"/>
      <c r="AM64" s="101"/>
      <c r="AN64" s="534"/>
      <c r="AO64" s="534"/>
      <c r="AP64" s="3"/>
      <c r="AQ64" s="3"/>
      <c r="AR64" s="3"/>
      <c r="AS64" s="3"/>
    </row>
    <row r="65" spans="1:45" x14ac:dyDescent="0.2">
      <c r="A65" s="346"/>
      <c r="B65" s="346"/>
      <c r="C65" s="2074" t="s">
        <v>419</v>
      </c>
      <c r="D65" s="2074"/>
      <c r="E65" s="334"/>
      <c r="F65" s="334"/>
      <c r="G65" s="549">
        <v>5000</v>
      </c>
      <c r="H65" s="549">
        <v>3000</v>
      </c>
      <c r="I65" s="549">
        <v>3400</v>
      </c>
      <c r="J65" s="549">
        <v>0</v>
      </c>
      <c r="K65" s="549">
        <v>0</v>
      </c>
      <c r="L65" s="549">
        <v>0</v>
      </c>
      <c r="M65" s="549" t="s">
        <v>420</v>
      </c>
      <c r="N65" s="549"/>
      <c r="O65" s="549"/>
      <c r="P65" s="550">
        <v>2962</v>
      </c>
      <c r="Q65" s="549">
        <v>3500</v>
      </c>
      <c r="R65" s="550">
        <v>2300</v>
      </c>
      <c r="S65" s="549">
        <v>2500</v>
      </c>
      <c r="T65" s="555">
        <f t="shared" si="23"/>
        <v>200</v>
      </c>
      <c r="U65" s="392">
        <f>T65/R65</f>
        <v>8.6956521739130432E-2</v>
      </c>
      <c r="V65" s="552">
        <v>3000</v>
      </c>
      <c r="W65" s="551">
        <f t="shared" si="24"/>
        <v>500</v>
      </c>
      <c r="X65" s="551">
        <f t="shared" si="25"/>
        <v>500</v>
      </c>
      <c r="Y65" s="552"/>
      <c r="Z65" s="556">
        <v>3000</v>
      </c>
      <c r="AA65" s="557">
        <v>4000</v>
      </c>
      <c r="AB65" s="557">
        <v>3500</v>
      </c>
      <c r="AC65" s="557">
        <v>3500</v>
      </c>
      <c r="AD65" s="557"/>
      <c r="AE65" s="558">
        <v>3500</v>
      </c>
      <c r="AF65" s="558"/>
      <c r="AG65" s="557">
        <f>3500</f>
        <v>3500</v>
      </c>
      <c r="AH65" s="102"/>
      <c r="AI65" s="102"/>
      <c r="AJ65" s="1297"/>
      <c r="AK65" s="1296">
        <v>3500</v>
      </c>
      <c r="AL65" s="102"/>
      <c r="AM65" s="102"/>
      <c r="AN65" s="534"/>
      <c r="AO65" s="534"/>
      <c r="AP65" s="3"/>
      <c r="AQ65" s="3"/>
      <c r="AR65" s="3"/>
      <c r="AS65" s="3"/>
    </row>
    <row r="66" spans="1:45" x14ac:dyDescent="0.2">
      <c r="A66" s="346"/>
      <c r="B66" s="346"/>
      <c r="C66" s="560" t="s">
        <v>421</v>
      </c>
      <c r="D66" s="560"/>
      <c r="E66" s="334"/>
      <c r="F66" s="334"/>
      <c r="G66" s="549"/>
      <c r="H66" s="549"/>
      <c r="I66" s="549"/>
      <c r="J66" s="549"/>
      <c r="K66" s="549"/>
      <c r="L66" s="549"/>
      <c r="M66" s="549"/>
      <c r="N66" s="549"/>
      <c r="O66" s="549"/>
      <c r="P66" s="550"/>
      <c r="Q66" s="549"/>
      <c r="R66" s="550"/>
      <c r="S66" s="549"/>
      <c r="T66" s="555"/>
      <c r="U66" s="392"/>
      <c r="V66" s="552"/>
      <c r="W66" s="551"/>
      <c r="X66" s="551"/>
      <c r="Y66" s="552"/>
      <c r="Z66" s="556"/>
      <c r="AA66" s="557">
        <v>1000</v>
      </c>
      <c r="AB66" s="557">
        <v>1000</v>
      </c>
      <c r="AC66" s="557">
        <v>1000</v>
      </c>
      <c r="AD66" s="557"/>
      <c r="AE66" s="558">
        <v>1000</v>
      </c>
      <c r="AF66" s="558"/>
      <c r="AG66" s="1297">
        <f>0</f>
        <v>0</v>
      </c>
      <c r="AH66" s="102"/>
      <c r="AI66" s="102"/>
      <c r="AJ66" s="1297"/>
      <c r="AK66" s="1296">
        <v>1000</v>
      </c>
      <c r="AL66" s="102"/>
      <c r="AM66" s="102"/>
      <c r="AN66" s="534"/>
      <c r="AO66" s="534"/>
      <c r="AP66" s="3"/>
      <c r="AQ66" s="3"/>
      <c r="AR66" s="3"/>
      <c r="AS66" s="3"/>
    </row>
    <row r="67" spans="1:45" ht="15.75" x14ac:dyDescent="0.25">
      <c r="A67" s="346"/>
      <c r="B67" s="346"/>
      <c r="C67" s="560" t="s">
        <v>422</v>
      </c>
      <c r="D67" s="560"/>
      <c r="E67" s="334"/>
      <c r="F67" s="334"/>
      <c r="G67" s="549">
        <v>2500</v>
      </c>
      <c r="H67" s="549">
        <v>1500</v>
      </c>
      <c r="I67" s="549">
        <v>1500</v>
      </c>
      <c r="J67" s="549">
        <v>0</v>
      </c>
      <c r="K67" s="549">
        <v>0</v>
      </c>
      <c r="L67" s="549">
        <v>0</v>
      </c>
      <c r="M67" s="549"/>
      <c r="N67" s="549"/>
      <c r="O67" s="549"/>
      <c r="P67" s="550">
        <v>0</v>
      </c>
      <c r="Q67" s="549">
        <v>200</v>
      </c>
      <c r="R67" s="550">
        <v>0</v>
      </c>
      <c r="S67" s="549">
        <v>0</v>
      </c>
      <c r="T67" s="555">
        <f t="shared" si="23"/>
        <v>0</v>
      </c>
      <c r="U67" s="392">
        <v>0</v>
      </c>
      <c r="V67" s="552"/>
      <c r="W67" s="551">
        <f t="shared" si="24"/>
        <v>0</v>
      </c>
      <c r="X67" s="551">
        <f t="shared" si="25"/>
        <v>0</v>
      </c>
      <c r="Y67" s="552"/>
      <c r="Z67" s="556"/>
      <c r="AA67" s="557"/>
      <c r="AB67" s="557"/>
      <c r="AC67" s="557"/>
      <c r="AD67" s="557"/>
      <c r="AE67" s="558"/>
      <c r="AF67" s="558"/>
      <c r="AG67" s="1297">
        <f>0</f>
        <v>0</v>
      </c>
      <c r="AH67" s="561"/>
      <c r="AI67" s="561"/>
      <c r="AJ67" s="1391"/>
      <c r="AK67" s="1453"/>
      <c r="AL67" s="102"/>
      <c r="AM67" s="102"/>
      <c r="AN67" s="534"/>
      <c r="AO67" s="534"/>
      <c r="AP67" s="3"/>
      <c r="AQ67" s="3"/>
      <c r="AR67" s="3"/>
      <c r="AS67" s="3"/>
    </row>
    <row r="68" spans="1:45" x14ac:dyDescent="0.2">
      <c r="A68" s="346"/>
      <c r="B68" s="346"/>
      <c r="C68" s="2074" t="s">
        <v>423</v>
      </c>
      <c r="D68" s="2074"/>
      <c r="E68" s="334"/>
      <c r="F68" s="334"/>
      <c r="G68" s="549">
        <v>390</v>
      </c>
      <c r="H68" s="549">
        <v>390</v>
      </c>
      <c r="I68" s="549">
        <v>325</v>
      </c>
      <c r="J68" s="549">
        <v>0</v>
      </c>
      <c r="K68" s="549">
        <v>0</v>
      </c>
      <c r="L68" s="549">
        <v>0</v>
      </c>
      <c r="M68" s="549"/>
      <c r="N68" s="549"/>
      <c r="O68" s="549"/>
      <c r="P68" s="550">
        <v>0</v>
      </c>
      <c r="Q68" s="549">
        <v>250</v>
      </c>
      <c r="R68" s="550">
        <v>180</v>
      </c>
      <c r="S68" s="549">
        <v>250</v>
      </c>
      <c r="T68" s="555">
        <f t="shared" si="23"/>
        <v>70</v>
      </c>
      <c r="U68" s="392">
        <f>T68/R68</f>
        <v>0.3888888888888889</v>
      </c>
      <c r="V68" s="552">
        <v>250</v>
      </c>
      <c r="W68" s="551">
        <f t="shared" si="24"/>
        <v>0</v>
      </c>
      <c r="X68" s="551">
        <f t="shared" si="25"/>
        <v>0</v>
      </c>
      <c r="Y68" s="552"/>
      <c r="Z68" s="556">
        <v>300</v>
      </c>
      <c r="AA68" s="557">
        <v>300</v>
      </c>
      <c r="AB68" s="557">
        <v>300</v>
      </c>
      <c r="AC68" s="557">
        <v>300</v>
      </c>
      <c r="AD68" s="557"/>
      <c r="AE68" s="558">
        <v>300</v>
      </c>
      <c r="AF68" s="558"/>
      <c r="AG68" s="1296">
        <f>300</f>
        <v>300</v>
      </c>
      <c r="AH68" s="449"/>
      <c r="AI68" s="449"/>
      <c r="AJ68" s="1392"/>
      <c r="AK68" s="1296">
        <v>300</v>
      </c>
      <c r="AL68" s="562"/>
      <c r="AM68" s="562"/>
      <c r="AN68" s="534"/>
      <c r="AO68" s="534"/>
      <c r="AP68" s="3"/>
      <c r="AQ68" s="3"/>
      <c r="AR68" s="3"/>
      <c r="AS68" s="3"/>
    </row>
    <row r="69" spans="1:45" x14ac:dyDescent="0.2">
      <c r="A69" s="346"/>
      <c r="B69" s="346"/>
      <c r="C69" s="2073" t="s">
        <v>424</v>
      </c>
      <c r="D69" s="2074"/>
      <c r="E69" s="334"/>
      <c r="F69" s="334"/>
      <c r="G69" s="549"/>
      <c r="H69" s="549"/>
      <c r="I69" s="549"/>
      <c r="J69" s="549"/>
      <c r="K69" s="549"/>
      <c r="L69" s="549"/>
      <c r="M69" s="549"/>
      <c r="N69" s="549"/>
      <c r="O69" s="549"/>
      <c r="P69" s="550">
        <v>0</v>
      </c>
      <c r="Q69" s="549">
        <v>600</v>
      </c>
      <c r="R69" s="550">
        <v>0</v>
      </c>
      <c r="S69" s="549">
        <v>0</v>
      </c>
      <c r="T69" s="555">
        <f t="shared" si="23"/>
        <v>0</v>
      </c>
      <c r="U69" s="392">
        <v>0</v>
      </c>
      <c r="V69" s="552"/>
      <c r="W69" s="551">
        <f t="shared" si="24"/>
        <v>0</v>
      </c>
      <c r="X69" s="551">
        <f t="shared" si="25"/>
        <v>0</v>
      </c>
      <c r="Y69" s="552"/>
      <c r="Z69" s="556"/>
      <c r="AA69" s="557"/>
      <c r="AB69" s="557"/>
      <c r="AC69" s="557"/>
      <c r="AD69" s="557"/>
      <c r="AE69" s="558"/>
      <c r="AF69" s="558"/>
      <c r="AG69" s="1289"/>
      <c r="AH69" s="3"/>
      <c r="AI69" s="3"/>
      <c r="AJ69" s="1289"/>
      <c r="AK69" s="1298"/>
      <c r="AL69" s="3"/>
      <c r="AM69" s="3"/>
      <c r="AN69" s="3"/>
      <c r="AO69" s="3"/>
      <c r="AP69" s="3"/>
      <c r="AQ69" s="3"/>
      <c r="AR69" s="3"/>
      <c r="AS69" s="3"/>
    </row>
    <row r="70" spans="1:45" x14ac:dyDescent="0.2">
      <c r="A70" s="346"/>
      <c r="B70" s="346"/>
      <c r="C70" s="2073" t="s">
        <v>41</v>
      </c>
      <c r="D70" s="2074"/>
      <c r="E70" s="334"/>
      <c r="F70" s="334"/>
      <c r="G70" s="549">
        <v>150</v>
      </c>
      <c r="H70" s="549">
        <v>150</v>
      </c>
      <c r="I70" s="549">
        <v>150</v>
      </c>
      <c r="J70" s="549">
        <v>0</v>
      </c>
      <c r="K70" s="549">
        <v>0</v>
      </c>
      <c r="L70" s="549">
        <v>0</v>
      </c>
      <c r="M70" s="549"/>
      <c r="N70" s="549"/>
      <c r="O70" s="549"/>
      <c r="P70" s="550">
        <v>0</v>
      </c>
      <c r="Q70" s="549">
        <v>0</v>
      </c>
      <c r="R70" s="550">
        <v>0</v>
      </c>
      <c r="S70" s="549">
        <v>0</v>
      </c>
      <c r="T70" s="555">
        <f t="shared" si="23"/>
        <v>0</v>
      </c>
      <c r="U70" s="392">
        <v>0</v>
      </c>
      <c r="V70" s="552"/>
      <c r="W70" s="551">
        <f t="shared" si="24"/>
        <v>0</v>
      </c>
      <c r="X70" s="551">
        <f t="shared" si="25"/>
        <v>0</v>
      </c>
      <c r="Y70" s="552"/>
      <c r="Z70" s="556"/>
      <c r="AA70" s="557"/>
      <c r="AB70" s="557"/>
      <c r="AC70" s="557"/>
      <c r="AD70" s="557"/>
      <c r="AE70" s="558"/>
      <c r="AF70" s="558"/>
      <c r="AG70" s="1289"/>
      <c r="AH70" s="3"/>
      <c r="AI70" s="3"/>
      <c r="AJ70" s="1289"/>
      <c r="AK70" s="1298"/>
      <c r="AL70" s="3"/>
      <c r="AM70" s="3"/>
      <c r="AN70" s="3"/>
      <c r="AO70" s="3"/>
      <c r="AP70" s="3"/>
      <c r="AQ70" s="3"/>
      <c r="AR70" s="3"/>
      <c r="AS70" s="3"/>
    </row>
    <row r="71" spans="1:45" x14ac:dyDescent="0.2">
      <c r="A71" s="346"/>
      <c r="B71" s="346"/>
      <c r="C71" s="2074" t="s">
        <v>302</v>
      </c>
      <c r="D71" s="2074"/>
      <c r="E71" s="334"/>
      <c r="F71" s="334"/>
      <c r="G71" s="549"/>
      <c r="H71" s="549"/>
      <c r="I71" s="549"/>
      <c r="J71" s="549"/>
      <c r="K71" s="549"/>
      <c r="L71" s="549">
        <v>0</v>
      </c>
      <c r="M71" s="549"/>
      <c r="N71" s="549"/>
      <c r="O71" s="549"/>
      <c r="P71" s="550">
        <v>0</v>
      </c>
      <c r="Q71" s="549">
        <v>250</v>
      </c>
      <c r="R71" s="550">
        <v>0</v>
      </c>
      <c r="S71" s="549">
        <v>0</v>
      </c>
      <c r="T71" s="555">
        <f t="shared" si="23"/>
        <v>0</v>
      </c>
      <c r="U71" s="392">
        <v>0</v>
      </c>
      <c r="V71" s="552"/>
      <c r="W71" s="551">
        <f t="shared" si="24"/>
        <v>0</v>
      </c>
      <c r="X71" s="551">
        <f t="shared" si="25"/>
        <v>0</v>
      </c>
      <c r="Y71" s="552"/>
      <c r="Z71" s="556"/>
      <c r="AA71" s="557"/>
      <c r="AB71" s="557"/>
      <c r="AC71" s="557"/>
      <c r="AD71" s="557"/>
      <c r="AE71" s="558"/>
      <c r="AF71" s="558"/>
      <c r="AG71" s="1289"/>
      <c r="AH71" s="3"/>
      <c r="AI71" s="3"/>
      <c r="AJ71" s="1289"/>
      <c r="AK71" s="1298"/>
      <c r="AL71" s="3"/>
      <c r="AM71" s="3"/>
      <c r="AN71" s="3"/>
      <c r="AO71" s="3"/>
      <c r="AP71" s="3"/>
      <c r="AQ71" s="3"/>
      <c r="AR71" s="3"/>
      <c r="AS71" s="3"/>
    </row>
    <row r="72" spans="1:45" x14ac:dyDescent="0.2">
      <c r="A72" s="346"/>
      <c r="B72" s="346"/>
      <c r="C72" s="2075" t="s">
        <v>425</v>
      </c>
      <c r="D72" s="2076"/>
      <c r="E72" s="334"/>
      <c r="F72" s="334"/>
      <c r="G72" s="549">
        <v>900</v>
      </c>
      <c r="H72" s="549">
        <v>800</v>
      </c>
      <c r="I72" s="549">
        <v>800</v>
      </c>
      <c r="J72" s="549">
        <v>0</v>
      </c>
      <c r="K72" s="549">
        <v>0</v>
      </c>
      <c r="L72" s="549">
        <v>0</v>
      </c>
      <c r="M72" s="549"/>
      <c r="N72" s="549"/>
      <c r="O72" s="549"/>
      <c r="P72" s="550">
        <v>1145</v>
      </c>
      <c r="Q72" s="549">
        <v>800</v>
      </c>
      <c r="R72" s="550">
        <v>700</v>
      </c>
      <c r="S72" s="549">
        <v>700</v>
      </c>
      <c r="T72" s="555">
        <f t="shared" si="23"/>
        <v>0</v>
      </c>
      <c r="U72" s="392">
        <f>T72/R72</f>
        <v>0</v>
      </c>
      <c r="V72" s="552">
        <v>700</v>
      </c>
      <c r="W72" s="551">
        <f t="shared" si="24"/>
        <v>0</v>
      </c>
      <c r="X72" s="551">
        <f t="shared" si="25"/>
        <v>0</v>
      </c>
      <c r="Y72" s="552"/>
      <c r="Z72" s="556">
        <v>700</v>
      </c>
      <c r="AA72" s="557"/>
      <c r="AB72" s="557"/>
      <c r="AC72" s="557"/>
      <c r="AD72" s="557"/>
      <c r="AE72" s="558"/>
      <c r="AF72" s="558"/>
      <c r="AG72" s="1289"/>
      <c r="AH72" s="3"/>
      <c r="AI72" s="3"/>
      <c r="AJ72" s="1289"/>
      <c r="AK72" s="1298"/>
      <c r="AL72" s="3"/>
      <c r="AM72" s="3"/>
      <c r="AN72" s="3"/>
      <c r="AO72" s="3"/>
      <c r="AP72" s="3"/>
      <c r="AQ72" s="3"/>
      <c r="AR72" s="3"/>
      <c r="AS72" s="3"/>
    </row>
    <row r="73" spans="1:45" x14ac:dyDescent="0.2">
      <c r="A73" s="346"/>
      <c r="B73" s="346"/>
      <c r="C73" s="563"/>
      <c r="D73" s="564"/>
      <c r="E73" s="491"/>
      <c r="F73" s="491"/>
      <c r="G73" s="565"/>
      <c r="H73" s="565"/>
      <c r="I73" s="565"/>
      <c r="J73" s="565"/>
      <c r="K73" s="565"/>
      <c r="L73" s="565"/>
      <c r="M73" s="565"/>
      <c r="N73" s="565"/>
      <c r="O73" s="565"/>
      <c r="P73" s="566"/>
      <c r="Q73" s="565"/>
      <c r="R73" s="566"/>
      <c r="S73" s="565"/>
      <c r="T73" s="555">
        <f t="shared" si="23"/>
        <v>0</v>
      </c>
      <c r="U73" s="392">
        <v>0</v>
      </c>
      <c r="V73" s="552"/>
      <c r="W73" s="551">
        <f t="shared" si="24"/>
        <v>0</v>
      </c>
      <c r="X73" s="551">
        <f t="shared" si="25"/>
        <v>0</v>
      </c>
      <c r="Y73" s="552"/>
      <c r="Z73" s="556"/>
      <c r="AA73" s="557"/>
      <c r="AB73" s="557"/>
      <c r="AC73" s="557"/>
      <c r="AD73" s="557"/>
      <c r="AE73" s="558"/>
      <c r="AF73" s="558"/>
      <c r="AG73" s="1289"/>
      <c r="AH73" s="3"/>
      <c r="AI73" s="3"/>
      <c r="AJ73" s="1289"/>
      <c r="AK73" s="1298"/>
      <c r="AL73" s="3"/>
      <c r="AM73" s="3"/>
      <c r="AN73" s="3"/>
      <c r="AO73" s="3"/>
      <c r="AP73" s="3"/>
      <c r="AQ73" s="3"/>
      <c r="AR73" s="3"/>
      <c r="AS73" s="3"/>
    </row>
    <row r="74" spans="1:45" ht="13.5" thickBot="1" x14ac:dyDescent="0.25">
      <c r="A74" s="346"/>
      <c r="B74" s="346"/>
      <c r="C74" s="2069" t="s">
        <v>426</v>
      </c>
      <c r="D74" s="2070"/>
      <c r="E74" s="493"/>
      <c r="F74" s="493"/>
      <c r="G74" s="567">
        <v>0</v>
      </c>
      <c r="H74" s="567">
        <v>0</v>
      </c>
      <c r="I74" s="567">
        <v>0</v>
      </c>
      <c r="J74" s="567">
        <v>7675.72</v>
      </c>
      <c r="K74" s="567">
        <v>6367.37</v>
      </c>
      <c r="L74" s="567">
        <v>7314.81</v>
      </c>
      <c r="M74" s="567">
        <v>3780.52</v>
      </c>
      <c r="N74" s="567">
        <v>4963.43</v>
      </c>
      <c r="O74" s="567">
        <v>4866.6499999999996</v>
      </c>
      <c r="P74" s="568">
        <v>0</v>
      </c>
      <c r="Q74" s="567">
        <v>0</v>
      </c>
      <c r="R74" s="568">
        <v>0</v>
      </c>
      <c r="S74" s="567">
        <v>0</v>
      </c>
      <c r="T74" s="423">
        <f t="shared" si="23"/>
        <v>0</v>
      </c>
      <c r="U74" s="424">
        <v>0</v>
      </c>
      <c r="V74" s="569"/>
      <c r="W74" s="423">
        <f t="shared" si="24"/>
        <v>0</v>
      </c>
      <c r="X74" s="423">
        <f t="shared" si="25"/>
        <v>0</v>
      </c>
      <c r="Y74" s="569"/>
      <c r="Z74" s="570"/>
      <c r="AA74" s="571"/>
      <c r="AB74" s="571"/>
      <c r="AC74" s="571"/>
      <c r="AD74" s="571"/>
      <c r="AE74" s="572"/>
      <c r="AF74" s="572"/>
      <c r="AG74" s="1308"/>
      <c r="AH74" s="469"/>
      <c r="AI74" s="3"/>
      <c r="AJ74" s="1308"/>
      <c r="AK74" s="1454"/>
      <c r="AL74" s="3"/>
      <c r="AM74" s="3"/>
      <c r="AN74" s="3"/>
      <c r="AO74" s="3"/>
      <c r="AP74" s="3"/>
      <c r="AQ74" s="3"/>
      <c r="AR74" s="3"/>
      <c r="AS74" s="3"/>
    </row>
    <row r="75" spans="1:45" ht="13.5" thickTop="1" x14ac:dyDescent="0.2">
      <c r="A75" s="573"/>
      <c r="B75" s="346"/>
      <c r="C75" s="2065"/>
      <c r="D75" s="2065"/>
      <c r="E75" s="574"/>
      <c r="F75" s="574"/>
      <c r="G75" s="470">
        <f t="shared" ref="G75:N75" si="26">SUM(G63:G74)</f>
        <v>10225</v>
      </c>
      <c r="H75" s="470">
        <f t="shared" si="26"/>
        <v>7125</v>
      </c>
      <c r="I75" s="470">
        <f t="shared" si="26"/>
        <v>6425</v>
      </c>
      <c r="J75" s="470">
        <f t="shared" si="26"/>
        <v>7675.72</v>
      </c>
      <c r="K75" s="470">
        <f t="shared" si="26"/>
        <v>6367.37</v>
      </c>
      <c r="L75" s="471">
        <f t="shared" si="26"/>
        <v>7314.81</v>
      </c>
      <c r="M75" s="471">
        <f t="shared" si="26"/>
        <v>3780.52</v>
      </c>
      <c r="N75" s="470">
        <f t="shared" si="26"/>
        <v>4963.43</v>
      </c>
      <c r="O75" s="471">
        <f>SUM(O63:O74)</f>
        <v>4866.6499999999996</v>
      </c>
      <c r="P75" s="472">
        <f>SUM(P63:P74)</f>
        <v>4865</v>
      </c>
      <c r="Q75" s="471">
        <f>SUM(Q63:Q74)</f>
        <v>6500</v>
      </c>
      <c r="R75" s="472">
        <f>SUM(R63:R74)</f>
        <v>3980</v>
      </c>
      <c r="S75" s="471">
        <f>SUM(S63:S74)</f>
        <v>4250</v>
      </c>
      <c r="T75" s="555">
        <f t="shared" si="23"/>
        <v>270</v>
      </c>
      <c r="U75" s="436">
        <f>T75/R75</f>
        <v>6.78391959798995E-2</v>
      </c>
      <c r="V75" s="471">
        <f>SUM(V63:V74)</f>
        <v>3950</v>
      </c>
      <c r="W75" s="555">
        <f t="shared" si="24"/>
        <v>-300</v>
      </c>
      <c r="X75" s="555">
        <f t="shared" si="25"/>
        <v>-300</v>
      </c>
      <c r="Y75" s="471"/>
      <c r="Z75" s="474">
        <v>4800</v>
      </c>
      <c r="AA75" s="474">
        <v>5300</v>
      </c>
      <c r="AB75" s="474">
        <f>SUM(AB63:AB74)</f>
        <v>5600</v>
      </c>
      <c r="AC75" s="474">
        <v>4800</v>
      </c>
      <c r="AD75" s="474"/>
      <c r="AE75" s="1311">
        <f>SUM(AE63:AE74)</f>
        <v>5300</v>
      </c>
      <c r="AF75" s="1311"/>
      <c r="AG75" s="1307">
        <f>SUM(AG64:AG74)</f>
        <v>3800</v>
      </c>
      <c r="AH75" s="3">
        <v>4566.13</v>
      </c>
      <c r="AI75" s="3"/>
      <c r="AJ75" s="1306"/>
      <c r="AK75" s="1313">
        <f>SUM(AK65:AK74)</f>
        <v>4800</v>
      </c>
      <c r="AL75" s="3"/>
      <c r="AM75" s="3"/>
      <c r="AN75" s="3"/>
      <c r="AO75" s="3"/>
      <c r="AP75" s="3"/>
      <c r="AQ75" s="3"/>
      <c r="AR75" s="3"/>
      <c r="AS75" s="3"/>
    </row>
    <row r="76" spans="1:45" x14ac:dyDescent="0.2">
      <c r="A76" s="346"/>
      <c r="B76" s="346"/>
      <c r="C76" s="346"/>
      <c r="D76" s="346"/>
      <c r="E76" s="346"/>
      <c r="F76" s="346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45"/>
      <c r="R76" s="575"/>
      <c r="S76" s="345"/>
      <c r="T76" s="352"/>
      <c r="U76" s="406"/>
      <c r="V76" s="406"/>
      <c r="W76" s="406"/>
      <c r="X76" s="406"/>
      <c r="Y76" s="406"/>
      <c r="Z76" s="406"/>
      <c r="AA76" s="407"/>
      <c r="AB76" s="407"/>
      <c r="AC76" s="407"/>
      <c r="AD76" s="407"/>
      <c r="AE76" s="447"/>
      <c r="AF76" s="447"/>
      <c r="AG76" s="3"/>
      <c r="AH76" s="3"/>
      <c r="AI76" s="3"/>
      <c r="AJ76" s="3"/>
      <c r="AK76" s="1320"/>
      <c r="AL76" s="3"/>
      <c r="AM76" s="3"/>
      <c r="AN76" s="3"/>
      <c r="AO76" s="3"/>
      <c r="AP76" s="3"/>
      <c r="AQ76" s="3"/>
      <c r="AR76" s="3"/>
      <c r="AS76" s="3"/>
    </row>
    <row r="77" spans="1:45" ht="13.5" thickBot="1" x14ac:dyDescent="0.25">
      <c r="A77" s="346"/>
      <c r="B77" s="346"/>
      <c r="C77" s="2063" t="s">
        <v>427</v>
      </c>
      <c r="D77" s="2063"/>
      <c r="E77" s="495">
        <v>2000</v>
      </c>
      <c r="F77" s="495">
        <v>2001</v>
      </c>
      <c r="G77" s="496">
        <v>2002</v>
      </c>
      <c r="H77" s="496">
        <f>+H3</f>
        <v>2003</v>
      </c>
      <c r="I77" s="496">
        <f>+I3</f>
        <v>2004</v>
      </c>
      <c r="J77" s="496">
        <f>+J3</f>
        <v>2005</v>
      </c>
      <c r="K77" s="496">
        <f>+K3</f>
        <v>2006</v>
      </c>
      <c r="L77" s="496">
        <f>+L3</f>
        <v>2007</v>
      </c>
      <c r="M77" s="497">
        <v>2008</v>
      </c>
      <c r="N77" s="497">
        <v>2009</v>
      </c>
      <c r="O77" s="497">
        <v>2010</v>
      </c>
      <c r="P77" s="497">
        <v>2011</v>
      </c>
      <c r="Q77" s="498">
        <v>2012</v>
      </c>
      <c r="R77" s="497">
        <v>2012</v>
      </c>
      <c r="S77" s="498">
        <v>2013</v>
      </c>
      <c r="T77" s="499" t="s">
        <v>366</v>
      </c>
      <c r="U77" s="406"/>
      <c r="V77" s="498">
        <v>2015</v>
      </c>
      <c r="W77" s="499" t="s">
        <v>366</v>
      </c>
      <c r="X77" s="533" t="s">
        <v>366</v>
      </c>
      <c r="Y77" s="498"/>
      <c r="Z77" s="502">
        <v>2016</v>
      </c>
      <c r="AA77" s="502">
        <v>2017</v>
      </c>
      <c r="AB77" s="502">
        <f>AB3</f>
        <v>2018</v>
      </c>
      <c r="AC77" s="502">
        <v>2019</v>
      </c>
      <c r="AD77" s="502"/>
      <c r="AE77" s="502">
        <v>2020</v>
      </c>
      <c r="AF77" s="502"/>
      <c r="AG77" s="502">
        <v>2021</v>
      </c>
      <c r="AH77" s="3"/>
      <c r="AI77" s="3"/>
      <c r="AJ77" s="1394" t="s">
        <v>670</v>
      </c>
      <c r="AK77" s="1455" t="s">
        <v>671</v>
      </c>
      <c r="AL77" s="3"/>
      <c r="AM77" s="3"/>
      <c r="AN77" s="3"/>
      <c r="AO77" s="3"/>
      <c r="AP77" s="3"/>
      <c r="AQ77" s="3"/>
      <c r="AR77" s="3"/>
      <c r="AS77" s="3"/>
    </row>
    <row r="78" spans="1:45" x14ac:dyDescent="0.2">
      <c r="A78" s="346"/>
      <c r="B78" s="346"/>
      <c r="C78" s="2066" t="s">
        <v>428</v>
      </c>
      <c r="D78" s="2064"/>
      <c r="E78" s="389"/>
      <c r="F78" s="389"/>
      <c r="G78" s="549">
        <f>150*5</f>
        <v>750</v>
      </c>
      <c r="H78" s="549">
        <f>150*5</f>
        <v>750</v>
      </c>
      <c r="I78" s="549">
        <v>700</v>
      </c>
      <c r="J78" s="549">
        <v>0</v>
      </c>
      <c r="K78" s="549">
        <v>0</v>
      </c>
      <c r="L78" s="549">
        <v>0</v>
      </c>
      <c r="M78" s="549"/>
      <c r="N78" s="549"/>
      <c r="O78" s="549"/>
      <c r="P78" s="550">
        <v>0</v>
      </c>
      <c r="Q78" s="549">
        <v>200</v>
      </c>
      <c r="R78" s="550">
        <v>0</v>
      </c>
      <c r="S78" s="549">
        <v>0</v>
      </c>
      <c r="T78" s="551">
        <f t="shared" ref="T78:T91" si="27">S78-R78</f>
        <v>0</v>
      </c>
      <c r="U78" s="392" t="e">
        <f t="shared" ref="U78:U83" si="28">T78/R78</f>
        <v>#DIV/0!</v>
      </c>
      <c r="V78" s="552"/>
      <c r="W78" s="551">
        <f>V78-S78</f>
        <v>0</v>
      </c>
      <c r="X78" s="551">
        <f>V78-S78</f>
        <v>0</v>
      </c>
      <c r="Y78" s="552"/>
      <c r="Z78" s="553"/>
      <c r="AA78" s="576"/>
      <c r="AB78" s="576"/>
      <c r="AC78" s="576"/>
      <c r="AD78" s="576"/>
      <c r="AE78" s="554"/>
      <c r="AF78" s="554"/>
      <c r="AG78" s="1306"/>
      <c r="AH78" s="3"/>
      <c r="AI78" s="3"/>
      <c r="AJ78" s="1306"/>
      <c r="AK78" s="1456"/>
      <c r="AL78" s="3"/>
      <c r="AM78" s="3"/>
      <c r="AN78" s="3"/>
      <c r="AO78" s="3"/>
      <c r="AP78" s="3"/>
      <c r="AQ78" s="3"/>
      <c r="AR78" s="3"/>
      <c r="AS78" s="3"/>
    </row>
    <row r="79" spans="1:45" x14ac:dyDescent="0.2">
      <c r="A79" s="346"/>
      <c r="B79" s="346"/>
      <c r="C79" s="2064" t="s">
        <v>429</v>
      </c>
      <c r="D79" s="2064"/>
      <c r="E79" s="389"/>
      <c r="F79" s="389"/>
      <c r="G79" s="549">
        <v>820</v>
      </c>
      <c r="H79" s="549">
        <v>620</v>
      </c>
      <c r="I79" s="549">
        <v>520</v>
      </c>
      <c r="J79" s="549">
        <v>0</v>
      </c>
      <c r="K79" s="549">
        <v>0</v>
      </c>
      <c r="L79" s="549">
        <v>0</v>
      </c>
      <c r="M79" s="549"/>
      <c r="N79" s="549"/>
      <c r="O79" s="549"/>
      <c r="P79" s="550">
        <v>0</v>
      </c>
      <c r="Q79" s="549">
        <v>850</v>
      </c>
      <c r="R79" s="550">
        <v>850</v>
      </c>
      <c r="S79" s="549">
        <v>850</v>
      </c>
      <c r="T79" s="555">
        <f t="shared" si="27"/>
        <v>0</v>
      </c>
      <c r="U79" s="392">
        <f t="shared" si="28"/>
        <v>0</v>
      </c>
      <c r="V79" s="552">
        <v>850</v>
      </c>
      <c r="W79" s="551">
        <f t="shared" ref="W79:W91" si="29">V79-S79</f>
        <v>0</v>
      </c>
      <c r="X79" s="551">
        <f t="shared" ref="X79:X91" si="30">V79-S79</f>
        <v>0</v>
      </c>
      <c r="Y79" s="552"/>
      <c r="Z79" s="556">
        <v>850</v>
      </c>
      <c r="AA79" s="557">
        <v>850</v>
      </c>
      <c r="AB79" s="557">
        <v>850</v>
      </c>
      <c r="AC79" s="557">
        <v>850</v>
      </c>
      <c r="AD79" s="557"/>
      <c r="AE79" s="557">
        <v>650</v>
      </c>
      <c r="AF79" s="557"/>
      <c r="AG79" s="508">
        <f>650</f>
        <v>650</v>
      </c>
      <c r="AH79" s="3"/>
      <c r="AI79" s="3"/>
      <c r="AJ79" s="1289"/>
      <c r="AK79" s="1298">
        <v>650</v>
      </c>
      <c r="AL79" s="3"/>
      <c r="AM79" s="3"/>
      <c r="AN79" s="3"/>
      <c r="AO79" s="3"/>
      <c r="AP79" s="3"/>
      <c r="AQ79" s="3"/>
      <c r="AR79" s="3"/>
      <c r="AS79" s="3"/>
    </row>
    <row r="80" spans="1:45" x14ac:dyDescent="0.2">
      <c r="A80" s="346"/>
      <c r="B80" s="346"/>
      <c r="C80" s="2067" t="s">
        <v>430</v>
      </c>
      <c r="D80" s="2068"/>
      <c r="E80" s="389"/>
      <c r="F80" s="389"/>
      <c r="G80" s="549"/>
      <c r="H80" s="549"/>
      <c r="I80" s="549"/>
      <c r="J80" s="549"/>
      <c r="K80" s="549"/>
      <c r="L80" s="549">
        <v>0</v>
      </c>
      <c r="M80" s="549"/>
      <c r="N80" s="549"/>
      <c r="O80" s="549"/>
      <c r="P80" s="550">
        <v>205</v>
      </c>
      <c r="Q80" s="549">
        <v>250</v>
      </c>
      <c r="R80" s="550">
        <v>400</v>
      </c>
      <c r="S80" s="549">
        <v>0</v>
      </c>
      <c r="T80" s="555">
        <f t="shared" si="27"/>
        <v>-400</v>
      </c>
      <c r="U80" s="392">
        <f t="shared" si="28"/>
        <v>-1</v>
      </c>
      <c r="V80" s="552"/>
      <c r="W80" s="551">
        <f t="shared" si="29"/>
        <v>0</v>
      </c>
      <c r="X80" s="551">
        <f t="shared" si="30"/>
        <v>0</v>
      </c>
      <c r="Y80" s="552"/>
      <c r="Z80" s="556"/>
      <c r="AA80" s="557"/>
      <c r="AB80" s="557"/>
      <c r="AC80" s="557"/>
      <c r="AD80" s="557"/>
      <c r="AE80" s="557"/>
      <c r="AF80" s="557"/>
      <c r="AG80" s="1298"/>
      <c r="AH80" s="3"/>
      <c r="AI80" s="3"/>
      <c r="AJ80" s="1289"/>
      <c r="AK80" s="1298"/>
      <c r="AL80" s="3"/>
      <c r="AM80" s="3"/>
      <c r="AN80" s="3"/>
      <c r="AO80" s="3"/>
      <c r="AP80" s="3"/>
      <c r="AQ80" s="3"/>
      <c r="AR80" s="3"/>
      <c r="AS80" s="3"/>
    </row>
    <row r="81" spans="1:45" x14ac:dyDescent="0.2">
      <c r="A81" s="346"/>
      <c r="B81" s="346"/>
      <c r="C81" s="2066" t="s">
        <v>431</v>
      </c>
      <c r="D81" s="2064"/>
      <c r="E81" s="389"/>
      <c r="F81" s="389"/>
      <c r="G81" s="549">
        <v>600</v>
      </c>
      <c r="H81" s="549">
        <v>600</v>
      </c>
      <c r="I81" s="549">
        <v>500</v>
      </c>
      <c r="J81" s="549">
        <v>0</v>
      </c>
      <c r="K81" s="549">
        <v>0</v>
      </c>
      <c r="L81" s="549">
        <v>0</v>
      </c>
      <c r="M81" s="549"/>
      <c r="N81" s="549"/>
      <c r="O81" s="549"/>
      <c r="P81" s="550">
        <v>244</v>
      </c>
      <c r="Q81" s="549">
        <v>0</v>
      </c>
      <c r="R81" s="550">
        <v>200</v>
      </c>
      <c r="S81" s="549">
        <v>800</v>
      </c>
      <c r="T81" s="555">
        <f t="shared" si="27"/>
        <v>600</v>
      </c>
      <c r="U81" s="392">
        <f t="shared" si="28"/>
        <v>3</v>
      </c>
      <c r="V81" s="552"/>
      <c r="W81" s="551">
        <f t="shared" si="29"/>
        <v>-800</v>
      </c>
      <c r="X81" s="551">
        <f t="shared" si="30"/>
        <v>-800</v>
      </c>
      <c r="Y81" s="552"/>
      <c r="Z81" s="556"/>
      <c r="AA81" s="557"/>
      <c r="AB81" s="557"/>
      <c r="AC81" s="557"/>
      <c r="AD81" s="557"/>
      <c r="AE81" s="557"/>
      <c r="AF81" s="557"/>
      <c r="AG81" s="1298"/>
      <c r="AH81" s="3"/>
      <c r="AI81" s="3"/>
      <c r="AJ81" s="1289"/>
      <c r="AK81" s="1298"/>
      <c r="AL81" s="3"/>
      <c r="AM81" s="3"/>
      <c r="AN81" s="3"/>
      <c r="AO81" s="3"/>
      <c r="AP81" s="3"/>
      <c r="AQ81" s="3"/>
      <c r="AR81" s="3"/>
      <c r="AS81" s="3"/>
    </row>
    <row r="82" spans="1:45" ht="69.75" customHeight="1" x14ac:dyDescent="0.2">
      <c r="A82" s="346"/>
      <c r="B82" s="346"/>
      <c r="C82" s="2064" t="s">
        <v>432</v>
      </c>
      <c r="D82" s="2064"/>
      <c r="E82" s="389"/>
      <c r="F82" s="389"/>
      <c r="G82" s="549">
        <v>350</v>
      </c>
      <c r="H82" s="549">
        <v>350</v>
      </c>
      <c r="I82" s="549">
        <v>650</v>
      </c>
      <c r="J82" s="549">
        <v>0</v>
      </c>
      <c r="K82" s="549">
        <v>0</v>
      </c>
      <c r="L82" s="549">
        <v>0</v>
      </c>
      <c r="M82" s="549"/>
      <c r="N82" s="549"/>
      <c r="O82" s="549"/>
      <c r="P82" s="550">
        <v>439</v>
      </c>
      <c r="Q82" s="549">
        <v>400</v>
      </c>
      <c r="R82" s="550">
        <v>350</v>
      </c>
      <c r="S82" s="549">
        <v>350</v>
      </c>
      <c r="T82" s="555">
        <f t="shared" si="27"/>
        <v>0</v>
      </c>
      <c r="U82" s="392">
        <f t="shared" si="28"/>
        <v>0</v>
      </c>
      <c r="V82" s="552">
        <v>450</v>
      </c>
      <c r="W82" s="551">
        <f t="shared" si="29"/>
        <v>100</v>
      </c>
      <c r="X82" s="551">
        <f t="shared" si="30"/>
        <v>100</v>
      </c>
      <c r="Y82" s="552"/>
      <c r="Z82" s="556">
        <v>500</v>
      </c>
      <c r="AA82" s="557">
        <v>600</v>
      </c>
      <c r="AB82" s="557">
        <v>600</v>
      </c>
      <c r="AC82" s="557">
        <v>600</v>
      </c>
      <c r="AD82" s="557"/>
      <c r="AE82" s="557">
        <v>600</v>
      </c>
      <c r="AF82" s="557"/>
      <c r="AG82" s="508">
        <f>(4*50)+(100)+(200)+(20*10)+100</f>
        <v>800</v>
      </c>
      <c r="AH82" s="3"/>
      <c r="AI82" s="3"/>
      <c r="AJ82" s="1289"/>
      <c r="AK82" s="1298">
        <v>650</v>
      </c>
      <c r="AL82" s="926" t="s">
        <v>689</v>
      </c>
      <c r="AM82" s="3"/>
      <c r="AN82" s="3"/>
      <c r="AO82" s="3"/>
      <c r="AP82" s="3"/>
      <c r="AQ82" s="3"/>
      <c r="AR82" s="3"/>
      <c r="AS82" s="3"/>
    </row>
    <row r="83" spans="1:45" x14ac:dyDescent="0.2">
      <c r="A83" s="346"/>
      <c r="B83" s="346"/>
      <c r="C83" s="2064" t="s">
        <v>299</v>
      </c>
      <c r="D83" s="2064"/>
      <c r="E83" s="389"/>
      <c r="F83" s="389"/>
      <c r="G83" s="549">
        <v>150</v>
      </c>
      <c r="H83" s="549">
        <v>150</v>
      </c>
      <c r="I83" s="549">
        <v>100</v>
      </c>
      <c r="J83" s="549">
        <v>0</v>
      </c>
      <c r="K83" s="549">
        <v>0</v>
      </c>
      <c r="L83" s="549">
        <v>0</v>
      </c>
      <c r="M83" s="549"/>
      <c r="N83" s="549"/>
      <c r="O83" s="549"/>
      <c r="P83" s="550">
        <v>0</v>
      </c>
      <c r="Q83" s="549">
        <v>0</v>
      </c>
      <c r="R83" s="550">
        <v>0</v>
      </c>
      <c r="S83" s="549">
        <v>0</v>
      </c>
      <c r="T83" s="555">
        <f t="shared" si="27"/>
        <v>0</v>
      </c>
      <c r="U83" s="392" t="e">
        <f t="shared" si="28"/>
        <v>#DIV/0!</v>
      </c>
      <c r="V83" s="552"/>
      <c r="W83" s="551">
        <f t="shared" si="29"/>
        <v>0</v>
      </c>
      <c r="X83" s="551">
        <f t="shared" si="30"/>
        <v>0</v>
      </c>
      <c r="Y83" s="552"/>
      <c r="Z83" s="556"/>
      <c r="AA83" s="557"/>
      <c r="AB83" s="557"/>
      <c r="AC83" s="557"/>
      <c r="AD83" s="557"/>
      <c r="AE83" s="557"/>
      <c r="AF83" s="557"/>
      <c r="AG83" s="1298"/>
      <c r="AH83" s="3"/>
      <c r="AI83" s="3"/>
      <c r="AJ83" s="1289"/>
      <c r="AK83" s="1298"/>
      <c r="AL83" s="3"/>
      <c r="AM83" s="3"/>
      <c r="AN83" s="3"/>
      <c r="AO83" s="3"/>
      <c r="AP83" s="3"/>
      <c r="AQ83" s="3"/>
      <c r="AR83" s="3"/>
      <c r="AS83" s="3"/>
    </row>
    <row r="84" spans="1:45" x14ac:dyDescent="0.2">
      <c r="A84" s="346"/>
      <c r="B84" s="346"/>
      <c r="C84" s="2066" t="s">
        <v>433</v>
      </c>
      <c r="D84" s="2064"/>
      <c r="E84" s="389"/>
      <c r="F84" s="389"/>
      <c r="G84" s="549">
        <v>250</v>
      </c>
      <c r="H84" s="549">
        <v>250</v>
      </c>
      <c r="I84" s="549">
        <v>250</v>
      </c>
      <c r="J84" s="549">
        <v>0</v>
      </c>
      <c r="K84" s="549">
        <v>0</v>
      </c>
      <c r="L84" s="549">
        <v>0</v>
      </c>
      <c r="M84" s="549"/>
      <c r="N84" s="549"/>
      <c r="O84" s="549"/>
      <c r="P84" s="550">
        <v>656</v>
      </c>
      <c r="Q84" s="549">
        <v>200</v>
      </c>
      <c r="R84" s="550">
        <v>0</v>
      </c>
      <c r="S84" s="549">
        <v>200</v>
      </c>
      <c r="T84" s="555">
        <f t="shared" si="27"/>
        <v>200</v>
      </c>
      <c r="U84" s="392">
        <v>0</v>
      </c>
      <c r="V84" s="552">
        <v>200</v>
      </c>
      <c r="W84" s="551">
        <f t="shared" si="29"/>
        <v>0</v>
      </c>
      <c r="X84" s="551">
        <f t="shared" si="30"/>
        <v>0</v>
      </c>
      <c r="Y84" s="552"/>
      <c r="Z84" s="556">
        <v>200</v>
      </c>
      <c r="AA84" s="557">
        <v>200</v>
      </c>
      <c r="AB84" s="557">
        <v>200</v>
      </c>
      <c r="AC84" s="557">
        <v>200</v>
      </c>
      <c r="AD84" s="557"/>
      <c r="AE84" s="557">
        <v>200</v>
      </c>
      <c r="AF84" s="557"/>
      <c r="AG84" s="508">
        <f>100</f>
        <v>100</v>
      </c>
      <c r="AH84" s="3"/>
      <c r="AI84" s="3"/>
      <c r="AJ84" s="1289"/>
      <c r="AK84" s="1298">
        <v>200</v>
      </c>
      <c r="AL84" s="3"/>
      <c r="AM84" s="3"/>
      <c r="AN84" s="3"/>
      <c r="AO84" s="3"/>
      <c r="AP84" s="3"/>
      <c r="AQ84" s="3"/>
      <c r="AR84" s="3"/>
      <c r="AS84" s="3"/>
    </row>
    <row r="85" spans="1:45" x14ac:dyDescent="0.2">
      <c r="A85" s="346"/>
      <c r="B85" s="346"/>
      <c r="C85" s="2064" t="s">
        <v>434</v>
      </c>
      <c r="D85" s="2064"/>
      <c r="E85" s="389"/>
      <c r="F85" s="389"/>
      <c r="G85" s="549">
        <f>75*25</f>
        <v>1875</v>
      </c>
      <c r="H85" s="549">
        <v>875</v>
      </c>
      <c r="I85" s="549">
        <v>875</v>
      </c>
      <c r="J85" s="549">
        <v>0</v>
      </c>
      <c r="K85" s="549">
        <v>0</v>
      </c>
      <c r="L85" s="549">
        <v>0</v>
      </c>
      <c r="M85" s="549"/>
      <c r="N85" s="549"/>
      <c r="O85" s="549"/>
      <c r="P85" s="550">
        <v>1197</v>
      </c>
      <c r="Q85" s="549">
        <v>2700</v>
      </c>
      <c r="R85" s="550">
        <v>0</v>
      </c>
      <c r="S85" s="549">
        <v>0</v>
      </c>
      <c r="T85" s="555">
        <f t="shared" si="27"/>
        <v>0</v>
      </c>
      <c r="U85" s="392">
        <v>0</v>
      </c>
      <c r="V85" s="552"/>
      <c r="W85" s="551">
        <f t="shared" si="29"/>
        <v>0</v>
      </c>
      <c r="X85" s="551">
        <f t="shared" si="30"/>
        <v>0</v>
      </c>
      <c r="Y85" s="552"/>
      <c r="Z85" s="556"/>
      <c r="AA85" s="557"/>
      <c r="AB85" s="557">
        <v>400</v>
      </c>
      <c r="AC85" s="557">
        <v>1000</v>
      </c>
      <c r="AD85" s="557"/>
      <c r="AE85" s="557"/>
      <c r="AF85" s="557"/>
      <c r="AG85" s="508"/>
      <c r="AH85" s="3"/>
      <c r="AI85" s="3"/>
      <c r="AJ85" s="1289"/>
      <c r="AK85" s="1298"/>
      <c r="AL85" s="180"/>
      <c r="AM85" s="3"/>
      <c r="AN85" s="3"/>
      <c r="AO85" s="3"/>
      <c r="AP85" s="3"/>
      <c r="AQ85" s="3"/>
      <c r="AR85" s="3"/>
      <c r="AS85" s="3"/>
    </row>
    <row r="86" spans="1:45" x14ac:dyDescent="0.2">
      <c r="A86" s="346"/>
      <c r="B86" s="346"/>
      <c r="C86" s="2064" t="s">
        <v>435</v>
      </c>
      <c r="D86" s="2064"/>
      <c r="E86" s="389"/>
      <c r="F86" s="389"/>
      <c r="G86" s="549">
        <v>700</v>
      </c>
      <c r="H86" s="549">
        <v>700</v>
      </c>
      <c r="I86" s="549">
        <v>200</v>
      </c>
      <c r="J86" s="549">
        <v>0</v>
      </c>
      <c r="K86" s="549">
        <v>0</v>
      </c>
      <c r="L86" s="549">
        <v>0</v>
      </c>
      <c r="M86" s="549"/>
      <c r="N86" s="549"/>
      <c r="O86" s="549"/>
      <c r="P86" s="550">
        <v>305</v>
      </c>
      <c r="Q86" s="549">
        <v>300</v>
      </c>
      <c r="R86" s="550">
        <v>300</v>
      </c>
      <c r="S86" s="549">
        <v>300</v>
      </c>
      <c r="T86" s="555">
        <f t="shared" si="27"/>
        <v>0</v>
      </c>
      <c r="U86" s="392">
        <f>T86/R86</f>
        <v>0</v>
      </c>
      <c r="V86" s="552">
        <v>300</v>
      </c>
      <c r="W86" s="551">
        <f t="shared" si="29"/>
        <v>0</v>
      </c>
      <c r="X86" s="551">
        <f t="shared" si="30"/>
        <v>0</v>
      </c>
      <c r="Y86" s="552"/>
      <c r="Z86" s="556">
        <v>300</v>
      </c>
      <c r="AA86" s="557">
        <v>300</v>
      </c>
      <c r="AB86" s="557">
        <v>400</v>
      </c>
      <c r="AC86" s="557">
        <v>400</v>
      </c>
      <c r="AD86" s="557"/>
      <c r="AE86" s="557">
        <v>300</v>
      </c>
      <c r="AF86" s="557"/>
      <c r="AG86" s="508">
        <f>200</f>
        <v>200</v>
      </c>
      <c r="AH86" s="3"/>
      <c r="AI86" s="3"/>
      <c r="AJ86" s="1289"/>
      <c r="AK86" s="1298">
        <v>300</v>
      </c>
      <c r="AL86" s="180"/>
      <c r="AM86" s="3"/>
      <c r="AN86" s="3"/>
      <c r="AO86" s="3"/>
      <c r="AP86" s="3"/>
      <c r="AQ86" s="3"/>
      <c r="AR86" s="3"/>
      <c r="AS86" s="3"/>
    </row>
    <row r="87" spans="1:45" x14ac:dyDescent="0.2">
      <c r="A87" s="346"/>
      <c r="B87" s="346"/>
      <c r="C87" s="2064" t="s">
        <v>302</v>
      </c>
      <c r="D87" s="2064"/>
      <c r="E87" s="389"/>
      <c r="F87" s="389"/>
      <c r="G87" s="549">
        <v>360</v>
      </c>
      <c r="H87" s="549">
        <v>360</v>
      </c>
      <c r="I87" s="549">
        <v>500</v>
      </c>
      <c r="J87" s="549">
        <v>0</v>
      </c>
      <c r="K87" s="549">
        <v>0</v>
      </c>
      <c r="L87" s="549">
        <v>0</v>
      </c>
      <c r="M87" s="549"/>
      <c r="N87" s="549"/>
      <c r="O87" s="549"/>
      <c r="P87" s="550">
        <v>0</v>
      </c>
      <c r="Q87" s="549"/>
      <c r="R87" s="550">
        <v>0</v>
      </c>
      <c r="S87" s="549"/>
      <c r="T87" s="555">
        <f t="shared" si="27"/>
        <v>0</v>
      </c>
      <c r="U87" s="392">
        <v>0</v>
      </c>
      <c r="V87" s="552"/>
      <c r="W87" s="551">
        <f t="shared" si="29"/>
        <v>0</v>
      </c>
      <c r="X87" s="551">
        <f t="shared" si="30"/>
        <v>0</v>
      </c>
      <c r="Y87" s="552"/>
      <c r="Z87" s="556"/>
      <c r="AA87" s="557"/>
      <c r="AB87" s="557"/>
      <c r="AC87" s="557"/>
      <c r="AD87" s="557"/>
      <c r="AE87" s="557"/>
      <c r="AF87" s="557"/>
      <c r="AG87" s="1298"/>
      <c r="AH87" s="3"/>
      <c r="AI87" s="3"/>
      <c r="AJ87" s="1289"/>
      <c r="AK87" s="1298"/>
      <c r="AL87" s="3"/>
      <c r="AM87" s="3"/>
      <c r="AN87" s="3"/>
      <c r="AO87" s="3"/>
      <c r="AP87" s="3"/>
      <c r="AQ87" s="3"/>
      <c r="AR87" s="3"/>
      <c r="AS87" s="3"/>
    </row>
    <row r="88" spans="1:45" x14ac:dyDescent="0.2">
      <c r="A88" s="346"/>
      <c r="B88" s="346"/>
      <c r="C88" s="577" t="s">
        <v>436</v>
      </c>
      <c r="D88" s="577"/>
      <c r="E88" s="578"/>
      <c r="F88" s="578"/>
      <c r="G88" s="565"/>
      <c r="H88" s="565"/>
      <c r="I88" s="565"/>
      <c r="J88" s="565"/>
      <c r="K88" s="565"/>
      <c r="L88" s="565"/>
      <c r="M88" s="565"/>
      <c r="N88" s="565"/>
      <c r="O88" s="565"/>
      <c r="P88" s="566">
        <f>838+54</f>
        <v>892</v>
      </c>
      <c r="Q88" s="565">
        <v>700</v>
      </c>
      <c r="R88" s="566">
        <v>250</v>
      </c>
      <c r="S88" s="565">
        <v>300</v>
      </c>
      <c r="T88" s="555">
        <f t="shared" si="27"/>
        <v>50</v>
      </c>
      <c r="U88" s="392">
        <f>T88/R88</f>
        <v>0.2</v>
      </c>
      <c r="V88" s="552">
        <v>300</v>
      </c>
      <c r="W88" s="551">
        <f t="shared" si="29"/>
        <v>0</v>
      </c>
      <c r="X88" s="551">
        <f t="shared" si="30"/>
        <v>0</v>
      </c>
      <c r="Y88" s="552"/>
      <c r="Z88" s="556">
        <v>300</v>
      </c>
      <c r="AA88" s="557">
        <v>300</v>
      </c>
      <c r="AB88" s="557">
        <v>300</v>
      </c>
      <c r="AC88" s="557">
        <v>350</v>
      </c>
      <c r="AD88" s="557"/>
      <c r="AE88" s="557">
        <v>350</v>
      </c>
      <c r="AF88" s="557"/>
      <c r="AG88" s="508">
        <f>350</f>
        <v>350</v>
      </c>
      <c r="AH88" s="3"/>
      <c r="AI88" s="3"/>
      <c r="AJ88" s="1289"/>
      <c r="AK88" s="1298">
        <v>350</v>
      </c>
      <c r="AL88" s="3"/>
      <c r="AM88" s="3"/>
      <c r="AN88" s="3"/>
      <c r="AO88" s="3"/>
      <c r="AP88" s="3"/>
      <c r="AQ88" s="3"/>
      <c r="AR88" s="3"/>
      <c r="AS88" s="3"/>
    </row>
    <row r="89" spans="1:45" ht="13.5" thickBot="1" x14ac:dyDescent="0.25">
      <c r="A89" s="346"/>
      <c r="B89" s="346"/>
      <c r="C89" s="2059"/>
      <c r="D89" s="2059"/>
      <c r="E89" s="578"/>
      <c r="F89" s="578"/>
      <c r="G89" s="565">
        <v>1400</v>
      </c>
      <c r="H89" s="565">
        <v>1400</v>
      </c>
      <c r="I89" s="565">
        <v>760</v>
      </c>
      <c r="J89" s="565">
        <v>0</v>
      </c>
      <c r="K89" s="565">
        <v>0</v>
      </c>
      <c r="L89" s="565">
        <v>0</v>
      </c>
      <c r="M89" s="567"/>
      <c r="N89" s="567"/>
      <c r="O89" s="567"/>
      <c r="P89" s="568"/>
      <c r="Q89" s="567"/>
      <c r="R89" s="568"/>
      <c r="S89" s="567"/>
      <c r="T89" s="423">
        <f t="shared" si="27"/>
        <v>0</v>
      </c>
      <c r="U89" s="424">
        <v>0</v>
      </c>
      <c r="V89" s="569"/>
      <c r="W89" s="423">
        <f t="shared" si="29"/>
        <v>0</v>
      </c>
      <c r="X89" s="423">
        <f t="shared" si="30"/>
        <v>0</v>
      </c>
      <c r="Y89" s="569"/>
      <c r="Z89" s="570"/>
      <c r="AA89" s="571"/>
      <c r="AB89" s="571"/>
      <c r="AC89" s="571"/>
      <c r="AD89" s="571"/>
      <c r="AE89" s="571"/>
      <c r="AF89" s="571"/>
      <c r="AG89" s="1312"/>
      <c r="AH89" s="3"/>
      <c r="AI89" s="3"/>
      <c r="AJ89" s="1308"/>
      <c r="AK89" s="1454"/>
      <c r="AL89" s="3"/>
      <c r="AM89" s="3"/>
      <c r="AN89" s="3"/>
      <c r="AO89" s="3"/>
      <c r="AP89" s="3"/>
      <c r="AQ89" s="3"/>
      <c r="AR89" s="3"/>
      <c r="AS89" s="3"/>
    </row>
    <row r="90" spans="1:45" ht="14.25" thickTop="1" thickBot="1" x14ac:dyDescent="0.25">
      <c r="A90" s="346"/>
      <c r="B90" s="346"/>
      <c r="C90" s="2062" t="s">
        <v>437</v>
      </c>
      <c r="D90" s="2059"/>
      <c r="E90" s="492"/>
      <c r="F90" s="492"/>
      <c r="G90" s="579"/>
      <c r="H90" s="579"/>
      <c r="I90" s="579"/>
      <c r="J90" s="579">
        <v>5062.7</v>
      </c>
      <c r="K90" s="579">
        <v>4910.1099999999997</v>
      </c>
      <c r="L90" s="580">
        <v>4900.1400000000003</v>
      </c>
      <c r="M90" s="581">
        <v>5826.66</v>
      </c>
      <c r="N90" s="582">
        <v>4703.42</v>
      </c>
      <c r="O90" s="581">
        <v>5497.65</v>
      </c>
      <c r="P90" s="583">
        <v>0</v>
      </c>
      <c r="Q90" s="581"/>
      <c r="R90" s="583">
        <v>0</v>
      </c>
      <c r="S90" s="581"/>
      <c r="T90" s="584">
        <f t="shared" si="27"/>
        <v>0</v>
      </c>
      <c r="U90" s="585">
        <v>0</v>
      </c>
      <c r="V90" s="585"/>
      <c r="W90" s="584">
        <f t="shared" si="29"/>
        <v>0</v>
      </c>
      <c r="X90" s="584">
        <f t="shared" si="30"/>
        <v>0</v>
      </c>
      <c r="Y90" s="585"/>
      <c r="Z90" s="585"/>
      <c r="AA90" s="586"/>
      <c r="AB90" s="586"/>
      <c r="AC90" s="586"/>
      <c r="AD90" s="586"/>
      <c r="AE90" s="587"/>
      <c r="AF90" s="587"/>
      <c r="AG90" s="1314"/>
      <c r="AH90" s="469"/>
      <c r="AI90" s="3"/>
      <c r="AJ90" s="1397"/>
      <c r="AK90" s="1457"/>
      <c r="AL90" s="3"/>
      <c r="AM90" s="3"/>
      <c r="AN90" s="3"/>
      <c r="AO90" s="3"/>
      <c r="AP90" s="3"/>
      <c r="AQ90" s="3"/>
      <c r="AR90" s="3"/>
      <c r="AS90" s="3"/>
    </row>
    <row r="91" spans="1:45" ht="13.5" thickTop="1" x14ac:dyDescent="0.2">
      <c r="A91" s="346"/>
      <c r="B91" s="346"/>
      <c r="C91" s="2060" t="s">
        <v>11</v>
      </c>
      <c r="D91" s="2061"/>
      <c r="E91" s="588"/>
      <c r="F91" s="588"/>
      <c r="G91" s="470">
        <f t="shared" ref="G91:N91" si="31">SUM(G78:G90)</f>
        <v>7255</v>
      </c>
      <c r="H91" s="470">
        <f t="shared" si="31"/>
        <v>6055</v>
      </c>
      <c r="I91" s="470">
        <f t="shared" si="31"/>
        <v>5055</v>
      </c>
      <c r="J91" s="470">
        <f t="shared" si="31"/>
        <v>5062.7</v>
      </c>
      <c r="K91" s="470">
        <f t="shared" si="31"/>
        <v>4910.1099999999997</v>
      </c>
      <c r="L91" s="471">
        <f t="shared" si="31"/>
        <v>4900.1400000000003</v>
      </c>
      <c r="M91" s="471">
        <f t="shared" si="31"/>
        <v>5826.66</v>
      </c>
      <c r="N91" s="470">
        <f t="shared" si="31"/>
        <v>4703.42</v>
      </c>
      <c r="O91" s="471">
        <f>SUM(O78:O90)</f>
        <v>5497.65</v>
      </c>
      <c r="P91" s="471">
        <f>SUM(P78:P90)</f>
        <v>3938</v>
      </c>
      <c r="Q91" s="471">
        <f>SUM(Q78:Q90)</f>
        <v>5600</v>
      </c>
      <c r="R91" s="471">
        <f>SUM(R78:R90)</f>
        <v>2350</v>
      </c>
      <c r="S91" s="471">
        <f>SUM(S78:S90)</f>
        <v>2800</v>
      </c>
      <c r="T91" s="555">
        <f t="shared" si="27"/>
        <v>450</v>
      </c>
      <c r="U91" s="436">
        <f>T91/R91</f>
        <v>0.19148936170212766</v>
      </c>
      <c r="V91" s="471">
        <f>SUM(V78:V90)</f>
        <v>2100</v>
      </c>
      <c r="W91" s="555">
        <f t="shared" si="29"/>
        <v>-700</v>
      </c>
      <c r="X91" s="555">
        <f t="shared" si="30"/>
        <v>-700</v>
      </c>
      <c r="Y91" s="471"/>
      <c r="Z91" s="474">
        <v>2150</v>
      </c>
      <c r="AA91" s="474">
        <v>2250</v>
      </c>
      <c r="AB91" s="474">
        <f>SUM(AB78:AB90)</f>
        <v>2750</v>
      </c>
      <c r="AC91" s="474">
        <v>3400</v>
      </c>
      <c r="AD91" s="474"/>
      <c r="AE91" s="474">
        <f>SUM(AE78:AE90)</f>
        <v>2100</v>
      </c>
      <c r="AF91" s="474"/>
      <c r="AG91" s="1313">
        <f>SUM(AG78:AG89)</f>
        <v>2100</v>
      </c>
      <c r="AH91" s="3">
        <v>851.76</v>
      </c>
      <c r="AI91" s="3"/>
      <c r="AJ91" s="1396"/>
      <c r="AK91" s="1313">
        <f>SUM(AK79:AK90)</f>
        <v>2150</v>
      </c>
      <c r="AL91" s="3"/>
      <c r="AM91" s="3"/>
      <c r="AN91" s="3"/>
      <c r="AO91" s="3"/>
      <c r="AP91" s="3"/>
      <c r="AQ91" s="3"/>
      <c r="AR91" s="3"/>
      <c r="AS91" s="3"/>
    </row>
    <row r="92" spans="1:45" x14ac:dyDescent="0.2">
      <c r="A92" s="346"/>
      <c r="B92" s="346"/>
      <c r="C92" s="346"/>
      <c r="D92" s="346"/>
      <c r="E92" s="346"/>
      <c r="F92" s="346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45"/>
      <c r="R92" s="352"/>
      <c r="S92" s="345"/>
      <c r="T92" s="352"/>
      <c r="U92" s="406"/>
      <c r="V92" s="406"/>
      <c r="W92" s="406"/>
      <c r="X92" s="406"/>
      <c r="Y92" s="406"/>
      <c r="Z92" s="406"/>
      <c r="AA92" s="407"/>
      <c r="AB92" s="407"/>
      <c r="AC92" s="407"/>
      <c r="AD92" s="407"/>
      <c r="AE92" s="447"/>
      <c r="AF92" s="447"/>
      <c r="AG92" s="3"/>
      <c r="AH92" s="3"/>
      <c r="AI92" s="3"/>
      <c r="AJ92" s="3"/>
      <c r="AK92" s="1320"/>
      <c r="AL92" s="3"/>
      <c r="AM92" s="3"/>
      <c r="AN92" s="3"/>
      <c r="AO92" s="3"/>
      <c r="AP92" s="3"/>
      <c r="AQ92" s="3"/>
      <c r="AR92" s="3"/>
      <c r="AS92" s="3"/>
    </row>
    <row r="93" spans="1:45" x14ac:dyDescent="0.2">
      <c r="A93" s="346"/>
      <c r="B93" s="346"/>
      <c r="C93" s="346"/>
      <c r="D93" s="346"/>
      <c r="E93" s="346"/>
      <c r="F93" s="346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45"/>
      <c r="R93" s="352"/>
      <c r="S93" s="345"/>
      <c r="T93" s="352"/>
      <c r="U93" s="406"/>
      <c r="V93" s="406"/>
      <c r="W93" s="406"/>
      <c r="X93" s="406"/>
      <c r="Y93" s="406"/>
      <c r="Z93" s="406"/>
      <c r="AA93" s="407"/>
      <c r="AB93" s="407"/>
      <c r="AC93" s="407"/>
      <c r="AD93" s="407"/>
      <c r="AE93" s="447"/>
      <c r="AF93" s="447"/>
      <c r="AG93" s="3"/>
      <c r="AH93" s="3"/>
      <c r="AI93" s="3"/>
      <c r="AJ93" s="3"/>
      <c r="AK93" s="1320"/>
      <c r="AL93" s="3"/>
      <c r="AM93" s="3"/>
      <c r="AN93" s="3"/>
      <c r="AO93" s="3"/>
      <c r="AP93" s="3"/>
      <c r="AQ93" s="3"/>
      <c r="AR93" s="3"/>
      <c r="AS93" s="3"/>
    </row>
    <row r="94" spans="1:45" ht="13.5" thickBot="1" x14ac:dyDescent="0.25">
      <c r="A94" s="346"/>
      <c r="B94" s="346"/>
      <c r="C94" s="2063" t="s">
        <v>438</v>
      </c>
      <c r="D94" s="2063"/>
      <c r="E94" s="495">
        <v>2000</v>
      </c>
      <c r="F94" s="495">
        <v>2001</v>
      </c>
      <c r="G94" s="496">
        <v>2002</v>
      </c>
      <c r="H94" s="496">
        <f>+H3</f>
        <v>2003</v>
      </c>
      <c r="I94" s="496">
        <f>+I3</f>
        <v>2004</v>
      </c>
      <c r="J94" s="496">
        <f>+J3</f>
        <v>2005</v>
      </c>
      <c r="K94" s="496">
        <f>+K3</f>
        <v>2006</v>
      </c>
      <c r="L94" s="496">
        <f>+L3</f>
        <v>2007</v>
      </c>
      <c r="M94" s="497">
        <v>2008</v>
      </c>
      <c r="N94" s="497">
        <v>2009</v>
      </c>
      <c r="O94" s="497">
        <v>2010</v>
      </c>
      <c r="P94" s="497">
        <v>2011</v>
      </c>
      <c r="Q94" s="498">
        <v>2012</v>
      </c>
      <c r="R94" s="497">
        <v>2012</v>
      </c>
      <c r="S94" s="498">
        <v>2013</v>
      </c>
      <c r="T94" s="499" t="s">
        <v>366</v>
      </c>
      <c r="U94" s="406"/>
      <c r="V94" s="498">
        <v>2015</v>
      </c>
      <c r="W94" s="499" t="s">
        <v>366</v>
      </c>
      <c r="X94" s="533" t="s">
        <v>366</v>
      </c>
      <c r="Y94" s="498"/>
      <c r="Z94" s="502">
        <v>2016</v>
      </c>
      <c r="AA94" s="502">
        <v>2017</v>
      </c>
      <c r="AB94" s="502">
        <f>AB3</f>
        <v>2018</v>
      </c>
      <c r="AC94" s="502">
        <v>2019</v>
      </c>
      <c r="AD94" s="502"/>
      <c r="AE94" s="1292">
        <v>2020</v>
      </c>
      <c r="AF94" s="1292"/>
      <c r="AG94" s="502">
        <v>2021</v>
      </c>
      <c r="AH94" s="3"/>
      <c r="AI94" s="3"/>
      <c r="AJ94" s="1394" t="s">
        <v>670</v>
      </c>
      <c r="AK94" s="1455" t="s">
        <v>671</v>
      </c>
      <c r="AL94" s="3"/>
      <c r="AM94" s="3"/>
      <c r="AN94" s="3"/>
      <c r="AO94" s="3"/>
      <c r="AP94" s="3"/>
      <c r="AQ94" s="3"/>
      <c r="AR94" s="3"/>
      <c r="AS94" s="3"/>
    </row>
    <row r="95" spans="1:45" x14ac:dyDescent="0.2">
      <c r="A95" s="346"/>
      <c r="B95" s="346"/>
      <c r="C95" s="2057" t="s">
        <v>439</v>
      </c>
      <c r="D95" s="2058"/>
      <c r="E95" s="389"/>
      <c r="F95" s="389"/>
      <c r="G95" s="549">
        <v>4000</v>
      </c>
      <c r="H95" s="549">
        <v>4000</v>
      </c>
      <c r="I95" s="549">
        <v>5000</v>
      </c>
      <c r="J95" s="549">
        <v>3258.33</v>
      </c>
      <c r="K95" s="549">
        <v>3515.45</v>
      </c>
      <c r="L95" s="549">
        <v>4137.24</v>
      </c>
      <c r="M95" s="549">
        <v>3331.48</v>
      </c>
      <c r="N95" s="549">
        <v>4784.28</v>
      </c>
      <c r="O95" s="549">
        <v>2142.77</v>
      </c>
      <c r="P95" s="550">
        <v>157</v>
      </c>
      <c r="Q95" s="549">
        <v>100</v>
      </c>
      <c r="R95" s="550">
        <v>100</v>
      </c>
      <c r="S95" s="549">
        <v>100</v>
      </c>
      <c r="T95" s="551">
        <f>S95-R95</f>
        <v>0</v>
      </c>
      <c r="U95" s="392">
        <f>T95/R95</f>
        <v>0</v>
      </c>
      <c r="V95" s="552">
        <v>100</v>
      </c>
      <c r="W95" s="537">
        <f>V95-S95</f>
        <v>0</v>
      </c>
      <c r="X95" s="537">
        <f>V95-S95</f>
        <v>0</v>
      </c>
      <c r="Y95" s="552"/>
      <c r="Z95" s="553">
        <v>100</v>
      </c>
      <c r="AA95" s="576">
        <v>100</v>
      </c>
      <c r="AB95" s="576"/>
      <c r="AC95" s="576"/>
      <c r="AD95" s="576"/>
      <c r="AE95" s="1299"/>
      <c r="AF95" s="1299"/>
      <c r="AG95" s="1306"/>
      <c r="AH95" s="3"/>
      <c r="AI95" s="3"/>
      <c r="AJ95" s="1306"/>
      <c r="AK95" s="1456"/>
      <c r="AL95" s="3"/>
      <c r="AM95" s="3"/>
      <c r="AN95" s="3"/>
      <c r="AO95" s="3"/>
      <c r="AP95" s="3"/>
      <c r="AQ95" s="3"/>
      <c r="AR95" s="3"/>
      <c r="AS95" s="3"/>
    </row>
    <row r="96" spans="1:45" x14ac:dyDescent="0.2">
      <c r="A96" s="346"/>
      <c r="B96" s="346"/>
      <c r="C96" s="589" t="s">
        <v>440</v>
      </c>
      <c r="D96" s="590"/>
      <c r="E96" s="389"/>
      <c r="F96" s="389"/>
      <c r="G96" s="549"/>
      <c r="H96" s="549"/>
      <c r="I96" s="549"/>
      <c r="J96" s="549"/>
      <c r="K96" s="549"/>
      <c r="L96" s="549"/>
      <c r="M96" s="549"/>
      <c r="N96" s="549"/>
      <c r="O96" s="549"/>
      <c r="P96" s="550"/>
      <c r="Q96" s="549"/>
      <c r="R96" s="550"/>
      <c r="S96" s="549"/>
      <c r="T96" s="555"/>
      <c r="U96" s="392"/>
      <c r="V96" s="552">
        <v>1200</v>
      </c>
      <c r="W96" s="543"/>
      <c r="X96" s="543">
        <f>V96-U96</f>
        <v>1200</v>
      </c>
      <c r="Y96" s="552"/>
      <c r="Z96" s="556">
        <v>800</v>
      </c>
      <c r="AA96" s="557">
        <v>800</v>
      </c>
      <c r="AB96" s="557">
        <v>800</v>
      </c>
      <c r="AC96" s="557">
        <v>900</v>
      </c>
      <c r="AD96" s="557"/>
      <c r="AE96" s="1300">
        <v>1000</v>
      </c>
      <c r="AF96" s="1300"/>
      <c r="AG96" s="508">
        <f>1000</f>
        <v>1000</v>
      </c>
      <c r="AH96" s="3"/>
      <c r="AI96" s="3"/>
      <c r="AJ96" s="1289"/>
      <c r="AK96" s="1298">
        <v>1000</v>
      </c>
      <c r="AL96" s="3"/>
      <c r="AM96" s="3"/>
      <c r="AN96" s="3"/>
      <c r="AO96" s="3"/>
      <c r="AP96" s="3"/>
      <c r="AQ96" s="3"/>
      <c r="AR96" s="3"/>
      <c r="AS96" s="3"/>
    </row>
    <row r="97" spans="1:47" x14ac:dyDescent="0.2">
      <c r="A97" s="346"/>
      <c r="B97" s="346"/>
      <c r="C97" s="2057" t="s">
        <v>441</v>
      </c>
      <c r="D97" s="2058"/>
      <c r="E97" s="389"/>
      <c r="F97" s="389"/>
      <c r="G97" s="549"/>
      <c r="H97" s="549"/>
      <c r="I97" s="549"/>
      <c r="J97" s="549"/>
      <c r="K97" s="549"/>
      <c r="L97" s="549"/>
      <c r="M97" s="549"/>
      <c r="N97" s="549"/>
      <c r="O97" s="549"/>
      <c r="P97" s="550">
        <v>845</v>
      </c>
      <c r="Q97" s="549">
        <v>1500</v>
      </c>
      <c r="R97" s="550">
        <v>200</v>
      </c>
      <c r="S97" s="549">
        <v>1000</v>
      </c>
      <c r="T97" s="555">
        <f>S97-R97</f>
        <v>800</v>
      </c>
      <c r="U97" s="392">
        <f>T97/R97</f>
        <v>4</v>
      </c>
      <c r="V97" s="552">
        <v>1000</v>
      </c>
      <c r="W97" s="543">
        <f>V97-U97</f>
        <v>996</v>
      </c>
      <c r="X97" s="543">
        <f>V97-U97</f>
        <v>996</v>
      </c>
      <c r="Y97" s="552"/>
      <c r="Z97" s="556">
        <v>1000</v>
      </c>
      <c r="AA97" s="557">
        <v>800</v>
      </c>
      <c r="AB97" s="557">
        <v>400</v>
      </c>
      <c r="AC97" s="557">
        <v>400</v>
      </c>
      <c r="AD97" s="557"/>
      <c r="AE97" s="1300">
        <v>350</v>
      </c>
      <c r="AF97" s="1300"/>
      <c r="AG97" s="1298">
        <f>100</f>
        <v>100</v>
      </c>
      <c r="AH97" s="3"/>
      <c r="AI97" s="3"/>
      <c r="AJ97" s="1289"/>
      <c r="AK97" s="1298"/>
      <c r="AL97" s="3"/>
      <c r="AM97" s="3"/>
      <c r="AN97" s="3"/>
      <c r="AO97" s="3"/>
      <c r="AP97" s="3"/>
      <c r="AQ97" s="3"/>
      <c r="AR97" s="3"/>
      <c r="AS97" s="3"/>
    </row>
    <row r="98" spans="1:47" ht="13.5" thickBot="1" x14ac:dyDescent="0.25">
      <c r="A98" s="346"/>
      <c r="B98" s="346"/>
      <c r="C98" s="2057" t="s">
        <v>442</v>
      </c>
      <c r="D98" s="2058"/>
      <c r="E98" s="389"/>
      <c r="F98" s="389"/>
      <c r="G98" s="549"/>
      <c r="H98" s="549"/>
      <c r="I98" s="549"/>
      <c r="J98" s="549"/>
      <c r="K98" s="549"/>
      <c r="L98" s="549"/>
      <c r="M98" s="549"/>
      <c r="N98" s="549"/>
      <c r="O98" s="549"/>
      <c r="P98" s="550">
        <v>308</v>
      </c>
      <c r="Q98" s="549">
        <v>1000</v>
      </c>
      <c r="R98" s="550">
        <v>200</v>
      </c>
      <c r="S98" s="549">
        <v>400</v>
      </c>
      <c r="T98" s="555">
        <f>S98-R98</f>
        <v>200</v>
      </c>
      <c r="U98" s="392">
        <f>T98/R98</f>
        <v>1</v>
      </c>
      <c r="V98" s="552">
        <v>200</v>
      </c>
      <c r="W98" s="543">
        <f>V98-U98</f>
        <v>199</v>
      </c>
      <c r="X98" s="426">
        <f>V98-U98</f>
        <v>199</v>
      </c>
      <c r="Y98" s="552"/>
      <c r="Z98" s="556">
        <v>200</v>
      </c>
      <c r="AA98" s="557">
        <v>200</v>
      </c>
      <c r="AB98" s="557">
        <v>200</v>
      </c>
      <c r="AC98" s="557">
        <v>250</v>
      </c>
      <c r="AD98" s="557"/>
      <c r="AE98" s="1300"/>
      <c r="AF98" s="1300"/>
      <c r="AG98" s="1298"/>
      <c r="AH98" s="3"/>
      <c r="AI98" s="3"/>
      <c r="AJ98" s="1289"/>
      <c r="AK98" s="1298"/>
      <c r="AL98" s="3"/>
      <c r="AM98" s="3"/>
      <c r="AN98" s="3"/>
      <c r="AO98" s="3"/>
      <c r="AP98" s="3"/>
      <c r="AQ98" s="3"/>
      <c r="AR98" s="3"/>
      <c r="AS98" s="3"/>
    </row>
    <row r="99" spans="1:47" ht="13.5" thickTop="1" x14ac:dyDescent="0.2">
      <c r="A99" s="346"/>
      <c r="B99" s="346"/>
      <c r="C99" s="591" t="s">
        <v>443</v>
      </c>
      <c r="D99" s="592"/>
      <c r="E99" s="578"/>
      <c r="F99" s="578"/>
      <c r="G99" s="565"/>
      <c r="H99" s="565"/>
      <c r="I99" s="565"/>
      <c r="J99" s="565"/>
      <c r="K99" s="565"/>
      <c r="L99" s="565"/>
      <c r="M99" s="565"/>
      <c r="N99" s="565"/>
      <c r="O99" s="565"/>
      <c r="P99" s="566"/>
      <c r="Q99" s="565"/>
      <c r="R99" s="566"/>
      <c r="S99" s="565">
        <v>1500</v>
      </c>
      <c r="T99" s="593"/>
      <c r="U99" s="594"/>
      <c r="V99" s="595"/>
      <c r="W99" s="596"/>
      <c r="X99" s="543">
        <f>V99-U99</f>
        <v>0</v>
      </c>
      <c r="Y99" s="595"/>
      <c r="Z99" s="597">
        <v>2000</v>
      </c>
      <c r="AA99" s="598">
        <v>500</v>
      </c>
      <c r="AB99" s="598">
        <v>400</v>
      </c>
      <c r="AC99" s="598">
        <v>400</v>
      </c>
      <c r="AD99" s="598"/>
      <c r="AE99" s="1301">
        <v>400</v>
      </c>
      <c r="AF99" s="1301"/>
      <c r="AG99" s="508">
        <f>300</f>
        <v>300</v>
      </c>
      <c r="AH99" s="3"/>
      <c r="AI99" s="3"/>
      <c r="AJ99" s="1289"/>
      <c r="AK99" s="1298">
        <v>200</v>
      </c>
      <c r="AL99" s="3"/>
      <c r="AM99" s="3"/>
      <c r="AN99" s="3"/>
      <c r="AO99" s="3"/>
      <c r="AP99" s="3"/>
      <c r="AQ99" s="3"/>
      <c r="AR99" s="3"/>
      <c r="AS99" s="3"/>
    </row>
    <row r="100" spans="1:47" ht="13.5" thickBot="1" x14ac:dyDescent="0.25">
      <c r="A100" s="346"/>
      <c r="B100" s="346"/>
      <c r="C100" s="2059" t="s">
        <v>444</v>
      </c>
      <c r="D100" s="2059"/>
      <c r="E100" s="492"/>
      <c r="F100" s="492"/>
      <c r="G100" s="579"/>
      <c r="H100" s="579"/>
      <c r="I100" s="579"/>
      <c r="J100" s="579"/>
      <c r="K100" s="579"/>
      <c r="L100" s="580"/>
      <c r="M100" s="580"/>
      <c r="N100" s="579"/>
      <c r="O100" s="580"/>
      <c r="P100" s="599"/>
      <c r="Q100" s="580"/>
      <c r="R100" s="599"/>
      <c r="S100" s="580"/>
      <c r="T100" s="423">
        <f>S100-R100</f>
        <v>0</v>
      </c>
      <c r="U100" s="424"/>
      <c r="V100" s="569">
        <v>1500</v>
      </c>
      <c r="W100" s="426">
        <f>V100-U100</f>
        <v>1500</v>
      </c>
      <c r="X100" s="600">
        <f>X51+X59+X75+X91+X99</f>
        <v>8800</v>
      </c>
      <c r="Y100" s="569"/>
      <c r="Z100" s="570">
        <v>800</v>
      </c>
      <c r="AA100" s="571"/>
      <c r="AB100" s="571"/>
      <c r="AC100" s="571"/>
      <c r="AD100" s="571"/>
      <c r="AE100" s="1302"/>
      <c r="AF100" s="1302"/>
      <c r="AG100" s="1312"/>
      <c r="AH100" s="469"/>
      <c r="AI100" s="3"/>
      <c r="AJ100" s="1308"/>
      <c r="AK100" s="1454"/>
      <c r="AL100" s="3"/>
      <c r="AM100" s="3"/>
      <c r="AN100" s="3"/>
      <c r="AO100" s="3"/>
      <c r="AP100" s="3"/>
      <c r="AQ100" s="3"/>
      <c r="AR100" s="3"/>
      <c r="AS100" s="3"/>
    </row>
    <row r="101" spans="1:47" ht="13.5" thickTop="1" x14ac:dyDescent="0.2">
      <c r="A101" s="346"/>
      <c r="B101" s="346"/>
      <c r="C101" s="2060" t="s">
        <v>11</v>
      </c>
      <c r="D101" s="2061"/>
      <c r="E101" s="588"/>
      <c r="F101" s="588"/>
      <c r="G101" s="470">
        <f t="shared" ref="G101:N101" si="32">SUM(G95:G100)</f>
        <v>4000</v>
      </c>
      <c r="H101" s="470">
        <f t="shared" si="32"/>
        <v>4000</v>
      </c>
      <c r="I101" s="470">
        <f t="shared" si="32"/>
        <v>5000</v>
      </c>
      <c r="J101" s="470">
        <f t="shared" si="32"/>
        <v>3258.33</v>
      </c>
      <c r="K101" s="470">
        <f t="shared" si="32"/>
        <v>3515.45</v>
      </c>
      <c r="L101" s="471">
        <f t="shared" si="32"/>
        <v>4137.24</v>
      </c>
      <c r="M101" s="471">
        <f t="shared" si="32"/>
        <v>3331.48</v>
      </c>
      <c r="N101" s="470">
        <f t="shared" si="32"/>
        <v>4784.28</v>
      </c>
      <c r="O101" s="471">
        <f>SUM(O95:O100)</f>
        <v>2142.77</v>
      </c>
      <c r="P101" s="472">
        <f>SUM(P95:P100)</f>
        <v>1310</v>
      </c>
      <c r="Q101" s="471">
        <f>SUM(Q95:Q100)</f>
        <v>2600</v>
      </c>
      <c r="R101" s="472">
        <f>SUM(R95:R100)</f>
        <v>500</v>
      </c>
      <c r="S101" s="471">
        <f>SUM(S95:S100)</f>
        <v>3000</v>
      </c>
      <c r="T101" s="555">
        <f>S101-R101</f>
        <v>2500</v>
      </c>
      <c r="U101" s="436">
        <f>T101/R101</f>
        <v>5</v>
      </c>
      <c r="V101" s="471">
        <f>SUM(V95:V100)</f>
        <v>4000</v>
      </c>
      <c r="W101" s="543">
        <f>V101-U101</f>
        <v>3995</v>
      </c>
      <c r="X101" s="532">
        <f>X33-X100</f>
        <v>34421</v>
      </c>
      <c r="Y101" s="471"/>
      <c r="Z101" s="601">
        <f>SUM(Z95:Z100)</f>
        <v>4900</v>
      </c>
      <c r="AA101" s="601">
        <f>SUM(AA95:AA100)</f>
        <v>2400</v>
      </c>
      <c r="AB101" s="601">
        <f>SUM(AB95:AB100)</f>
        <v>1800</v>
      </c>
      <c r="AC101" s="601">
        <f>SUM(AC95:AC100)</f>
        <v>1950</v>
      </c>
      <c r="AD101" s="601"/>
      <c r="AE101" s="1303">
        <f>SUM(AE95:AE100)</f>
        <v>1750</v>
      </c>
      <c r="AF101" s="1299"/>
      <c r="AG101" s="1313">
        <f>SUM(AG95:AG100)</f>
        <v>1400</v>
      </c>
      <c r="AH101" s="3">
        <v>675.46</v>
      </c>
      <c r="AI101" s="3"/>
      <c r="AJ101" s="1396"/>
      <c r="AK101" s="1313">
        <f>SUM(AK96:AK100)</f>
        <v>1200</v>
      </c>
      <c r="AL101" s="3"/>
      <c r="AM101" s="3"/>
      <c r="AN101" s="3"/>
      <c r="AO101" s="3"/>
      <c r="AP101" s="3"/>
      <c r="AQ101" s="3"/>
      <c r="AR101" s="3"/>
      <c r="AS101" s="3"/>
      <c r="AU101" s="619">
        <f>AG101+AG91+AG75</f>
        <v>7300</v>
      </c>
    </row>
    <row r="102" spans="1:47" x14ac:dyDescent="0.2">
      <c r="A102" s="346"/>
      <c r="B102" s="346"/>
      <c r="C102" s="602" t="s">
        <v>662</v>
      </c>
      <c r="D102" s="602"/>
      <c r="E102" s="465"/>
      <c r="F102" s="465"/>
      <c r="G102" s="124"/>
      <c r="H102" s="124"/>
      <c r="I102" s="124"/>
      <c r="J102" s="124"/>
      <c r="K102" s="124"/>
      <c r="L102" s="476"/>
      <c r="M102" s="476"/>
      <c r="N102" s="124"/>
      <c r="O102" s="476"/>
      <c r="P102" s="476"/>
      <c r="Q102" s="477"/>
      <c r="R102" s="476"/>
      <c r="S102" s="477"/>
      <c r="T102" s="603"/>
      <c r="U102" s="604"/>
      <c r="V102" s="477"/>
      <c r="W102" s="596"/>
      <c r="X102" s="532"/>
      <c r="Y102" s="477"/>
      <c r="Z102" s="477"/>
      <c r="AA102" s="559"/>
      <c r="AB102" s="559"/>
      <c r="AC102" s="559"/>
      <c r="AD102" s="559"/>
      <c r="AE102" s="1304">
        <v>13050</v>
      </c>
      <c r="AF102" s="1304">
        <v>9545</v>
      </c>
      <c r="AG102" s="1298">
        <f>AG75+AG91+AG101</f>
        <v>7300</v>
      </c>
      <c r="AH102" s="3"/>
      <c r="AI102" s="3"/>
      <c r="AJ102" s="1289"/>
      <c r="AK102" s="1458">
        <v>8150</v>
      </c>
      <c r="AL102" s="3"/>
      <c r="AM102" s="3"/>
      <c r="AN102" s="3"/>
      <c r="AO102" s="3"/>
      <c r="AP102" s="3"/>
      <c r="AQ102" s="3"/>
      <c r="AR102" s="3"/>
      <c r="AS102" s="3"/>
    </row>
    <row r="103" spans="1:47" x14ac:dyDescent="0.2">
      <c r="A103" s="346"/>
      <c r="B103" s="346"/>
      <c r="C103" s="605" t="s">
        <v>25</v>
      </c>
      <c r="D103" s="606"/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6"/>
      <c r="P103" s="607">
        <f>P51+P59+P75+P91+P101</f>
        <v>153011.9896243902</v>
      </c>
      <c r="Q103" s="608">
        <f>Q51+Q59+Q75+Q91+Q101</f>
        <v>159168.435</v>
      </c>
      <c r="R103" s="607">
        <f>R51+R59+R75+R91+R101</f>
        <v>150712.68380487806</v>
      </c>
      <c r="S103" s="608">
        <f>S51+S59+S75+S91+S101</f>
        <v>163015</v>
      </c>
      <c r="T103" s="607">
        <f>T51+T59+T75+T91+T101</f>
        <v>12302.316195121937</v>
      </c>
      <c r="U103" s="609">
        <f>T103/R103</f>
        <v>8.1627610129013928E-2</v>
      </c>
      <c r="V103" s="608">
        <f>V51+V59+V75+V91+V101</f>
        <v>172815</v>
      </c>
      <c r="W103" s="608">
        <f>W51+W59+W75+W91+W101</f>
        <v>12795</v>
      </c>
      <c r="X103" s="610"/>
      <c r="Y103" s="608"/>
      <c r="Z103" s="611">
        <v>182931</v>
      </c>
      <c r="AA103" s="611">
        <v>185378</v>
      </c>
      <c r="AB103" s="611">
        <f>AB51+AB59+AB75+AB91+AB101</f>
        <v>192930</v>
      </c>
      <c r="AC103" s="611">
        <v>192485</v>
      </c>
      <c r="AD103" s="611"/>
      <c r="AE103" s="1315">
        <f>AE51+AE59+AE75+AE91+AE101</f>
        <v>194440</v>
      </c>
      <c r="AF103" s="1315"/>
      <c r="AG103" s="1316">
        <f>AG51+AG59+AG75+AG91+AG101</f>
        <v>201868.29</v>
      </c>
      <c r="AH103" s="3">
        <v>122530.18</v>
      </c>
      <c r="AI103" s="3"/>
      <c r="AJ103" s="1395"/>
      <c r="AK103" s="1316">
        <f>AK51+AK59+AK102</f>
        <v>221007</v>
      </c>
      <c r="AL103" s="3"/>
      <c r="AM103" s="3"/>
      <c r="AN103" s="3"/>
      <c r="AO103" s="3"/>
      <c r="AP103" s="3"/>
      <c r="AQ103" s="3"/>
      <c r="AR103" s="3"/>
      <c r="AS103" s="3"/>
    </row>
    <row r="104" spans="1:47" x14ac:dyDescent="0.2">
      <c r="A104" s="346"/>
      <c r="B104" s="346"/>
      <c r="C104" s="612"/>
      <c r="D104" s="346"/>
      <c r="E104" s="346"/>
      <c r="F104" s="346"/>
      <c r="G104" s="352"/>
      <c r="H104" s="352"/>
      <c r="I104" s="352"/>
      <c r="J104" s="352"/>
      <c r="K104" s="352"/>
      <c r="L104" s="352"/>
      <c r="M104" s="352"/>
      <c r="N104" s="352"/>
      <c r="O104" s="352"/>
      <c r="P104" s="613"/>
      <c r="Q104" s="614"/>
      <c r="R104" s="613"/>
      <c r="S104" s="614"/>
      <c r="T104" s="613"/>
      <c r="U104" s="406"/>
      <c r="V104" s="614"/>
      <c r="W104" s="614"/>
      <c r="X104" s="41"/>
      <c r="Y104" s="614"/>
      <c r="Z104" s="614"/>
      <c r="AA104" s="615"/>
      <c r="AB104" s="405"/>
      <c r="AC104" s="405"/>
      <c r="AD104" s="405"/>
      <c r="AE104" s="405"/>
      <c r="AF104" s="405"/>
      <c r="AG104" s="128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7" ht="13.5" thickBot="1" x14ac:dyDescent="0.25">
      <c r="A105" s="346"/>
      <c r="B105" s="346"/>
      <c r="C105" s="616" t="s">
        <v>445</v>
      </c>
      <c r="D105" s="606"/>
      <c r="E105" s="606"/>
      <c r="F105" s="606"/>
      <c r="G105" s="606"/>
      <c r="H105" s="606"/>
      <c r="I105" s="606"/>
      <c r="J105" s="606"/>
      <c r="K105" s="606"/>
      <c r="L105" s="606"/>
      <c r="M105" s="606"/>
      <c r="N105" s="606"/>
      <c r="O105" s="606"/>
      <c r="P105" s="617">
        <f>P33-P103</f>
        <v>525880.01037560985</v>
      </c>
      <c r="Q105" s="617">
        <f>Q33-Q103</f>
        <v>534161.56499999994</v>
      </c>
      <c r="R105" s="617">
        <f>R33-R103</f>
        <v>528798.31619512197</v>
      </c>
      <c r="S105" s="617">
        <f>S33-S103</f>
        <v>569735</v>
      </c>
      <c r="T105" s="606"/>
      <c r="U105" s="606"/>
      <c r="V105" s="617">
        <f>V33-V103</f>
        <v>591785</v>
      </c>
      <c r="W105" s="617">
        <f>W33-W103</f>
        <v>30426</v>
      </c>
      <c r="X105" s="75"/>
      <c r="Y105" s="617"/>
      <c r="Z105" s="618">
        <v>618589</v>
      </c>
      <c r="AA105" s="618">
        <v>639252</v>
      </c>
      <c r="AB105" s="618">
        <f>AB33-AB103</f>
        <v>665490</v>
      </c>
      <c r="AC105" s="618">
        <v>693715</v>
      </c>
      <c r="AD105" s="618"/>
      <c r="AE105" s="1305">
        <f>AE33-AE103</f>
        <v>726497.2</v>
      </c>
      <c r="AF105" s="1305">
        <f>AF33-(AF51+AF59+AF102)</f>
        <v>735599.46</v>
      </c>
      <c r="AG105" s="1316">
        <f>AG33-AG103</f>
        <v>717725.71</v>
      </c>
      <c r="AH105" s="469">
        <v>487295.74</v>
      </c>
      <c r="AI105" s="3"/>
      <c r="AJ105" s="1395"/>
      <c r="AK105" s="1316">
        <f>AK33-AK103</f>
        <v>764809.44490322575</v>
      </c>
    </row>
    <row r="106" spans="1:47" ht="13.5" thickTop="1" x14ac:dyDescent="0.2">
      <c r="Q106" s="620"/>
      <c r="S106" s="620"/>
      <c r="T106" s="620"/>
    </row>
    <row r="107" spans="1:47" x14ac:dyDescent="0.2">
      <c r="R107" s="620"/>
    </row>
    <row r="113" spans="33:40" x14ac:dyDescent="0.2">
      <c r="AG113" s="14"/>
      <c r="AH113" s="14"/>
      <c r="AI113" s="14"/>
      <c r="AJ113" s="14"/>
      <c r="AK113" s="14"/>
      <c r="AL113" s="14"/>
      <c r="AM113" s="14"/>
      <c r="AN113" s="14"/>
    </row>
  </sheetData>
  <mergeCells count="70">
    <mergeCell ref="AZ1:BE1"/>
    <mergeCell ref="B22:D22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B20:D20"/>
    <mergeCell ref="B21:D21"/>
    <mergeCell ref="B41:D41"/>
    <mergeCell ref="B23:D23"/>
    <mergeCell ref="B24:D24"/>
    <mergeCell ref="A26:C26"/>
    <mergeCell ref="C28:D28"/>
    <mergeCell ref="C29:D29"/>
    <mergeCell ref="B31:D31"/>
    <mergeCell ref="A33:D33"/>
    <mergeCell ref="B37:D37"/>
    <mergeCell ref="B38:D38"/>
    <mergeCell ref="B39:D39"/>
    <mergeCell ref="B40:D40"/>
    <mergeCell ref="C57:D57"/>
    <mergeCell ref="C44:D44"/>
    <mergeCell ref="C45:D45"/>
    <mergeCell ref="C46:D46"/>
    <mergeCell ref="C47:D47"/>
    <mergeCell ref="C48:D48"/>
    <mergeCell ref="C49:D49"/>
    <mergeCell ref="C50:D50"/>
    <mergeCell ref="C51:D51"/>
    <mergeCell ref="C54:D54"/>
    <mergeCell ref="C55:D55"/>
    <mergeCell ref="C56:D56"/>
    <mergeCell ref="C74:D74"/>
    <mergeCell ref="C58:D58"/>
    <mergeCell ref="C59:D59"/>
    <mergeCell ref="C62:D62"/>
    <mergeCell ref="C63:D63"/>
    <mergeCell ref="C64:D64"/>
    <mergeCell ref="C65:D65"/>
    <mergeCell ref="C68:D68"/>
    <mergeCell ref="C69:D69"/>
    <mergeCell ref="C70:D70"/>
    <mergeCell ref="C71:D71"/>
    <mergeCell ref="C72:D72"/>
    <mergeCell ref="C87:D87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8:D98"/>
    <mergeCell ref="C100:D100"/>
    <mergeCell ref="C101:D101"/>
    <mergeCell ref="C89:D89"/>
    <mergeCell ref="C90:D90"/>
    <mergeCell ref="C91:D91"/>
    <mergeCell ref="C94:D94"/>
    <mergeCell ref="C95:D95"/>
    <mergeCell ref="C97:D97"/>
  </mergeCells>
  <pageMargins left="0.7" right="0.7" top="0.75" bottom="0.75" header="0.3" footer="0.3"/>
  <pageSetup scale="65" orientation="landscape" r:id="rId1"/>
  <rowBreaks count="2" manualBreakCount="2">
    <brk id="42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K339"/>
  <sheetViews>
    <sheetView zoomScaleNormal="100" workbookViewId="0">
      <selection activeCell="D35" sqref="D35"/>
    </sheetView>
  </sheetViews>
  <sheetFormatPr defaultRowHeight="12.75" x14ac:dyDescent="0.2"/>
  <cols>
    <col min="1" max="1" width="63.7109375" customWidth="1"/>
    <col min="2" max="2" width="13.7109375" customWidth="1"/>
    <col min="3" max="3" width="10.28515625" customWidth="1"/>
    <col min="4" max="4" width="18" customWidth="1"/>
    <col min="5" max="5" width="41.28515625" customWidth="1"/>
    <col min="6" max="6" width="10.28515625" customWidth="1"/>
    <col min="7" max="8" width="9.42578125" bestFit="1" customWidth="1"/>
    <col min="11" max="11" width="12.5703125" customWidth="1"/>
    <col min="12" max="12" width="21.7109375" customWidth="1"/>
    <col min="13" max="13" width="11.5703125" bestFit="1" customWidth="1"/>
    <col min="14" max="14" width="12" bestFit="1" customWidth="1"/>
    <col min="20" max="20" width="0" hidden="1" customWidth="1"/>
    <col min="24" max="24" width="9.28515625" style="3" customWidth="1"/>
    <col min="25" max="25" width="9.28515625" style="661" customWidth="1"/>
  </cols>
  <sheetData>
    <row r="1" spans="1:37" x14ac:dyDescent="0.2">
      <c r="A1" s="660" t="s">
        <v>697</v>
      </c>
      <c r="B1" s="660"/>
      <c r="K1" s="3"/>
      <c r="L1" s="3"/>
      <c r="M1" s="3"/>
      <c r="N1" s="3"/>
      <c r="O1" s="3"/>
    </row>
    <row r="2" spans="1:37" x14ac:dyDescent="0.2">
      <c r="A2" s="2094" t="s">
        <v>474</v>
      </c>
      <c r="B2" s="2095"/>
      <c r="C2" s="2095"/>
      <c r="D2" s="2095"/>
      <c r="E2" s="2095"/>
      <c r="F2" s="2095"/>
      <c r="G2" s="2095"/>
      <c r="H2" s="2096"/>
      <c r="K2" s="3"/>
      <c r="L2" s="3"/>
      <c r="M2" s="164"/>
      <c r="N2" s="164"/>
      <c r="O2" s="3"/>
    </row>
    <row r="3" spans="1:37" x14ac:dyDescent="0.2">
      <c r="K3" s="3"/>
      <c r="L3" s="3"/>
      <c r="M3" s="21"/>
      <c r="N3" s="21"/>
      <c r="O3" s="3"/>
    </row>
    <row r="4" spans="1:37" hidden="1" x14ac:dyDescent="0.2">
      <c r="A4" s="662" t="s">
        <v>475</v>
      </c>
      <c r="B4" s="733" t="s">
        <v>476</v>
      </c>
      <c r="C4" s="734" t="s">
        <v>477</v>
      </c>
      <c r="D4" s="735" t="s">
        <v>478</v>
      </c>
      <c r="J4" s="282"/>
      <c r="K4" s="663"/>
      <c r="L4" s="102"/>
      <c r="M4" s="102"/>
      <c r="N4" s="102"/>
      <c r="O4" s="3"/>
      <c r="V4" s="664"/>
    </row>
    <row r="5" spans="1:37" hidden="1" x14ac:dyDescent="0.2">
      <c r="A5" s="665"/>
      <c r="B5" s="666"/>
      <c r="C5" s="667"/>
      <c r="D5" s="668"/>
      <c r="J5" s="282"/>
      <c r="K5" s="102"/>
      <c r="L5" s="101"/>
      <c r="M5" s="669"/>
      <c r="N5" s="347"/>
      <c r="O5" s="3"/>
    </row>
    <row r="6" spans="1:37" hidden="1" x14ac:dyDescent="0.2">
      <c r="A6" s="697" t="s">
        <v>479</v>
      </c>
      <c r="B6" s="698">
        <v>0</v>
      </c>
      <c r="C6" s="699">
        <v>0</v>
      </c>
      <c r="D6" s="700">
        <f>B6-C6</f>
        <v>0</v>
      </c>
      <c r="E6" s="37"/>
      <c r="I6" s="1"/>
      <c r="J6" s="282"/>
      <c r="K6" s="102"/>
      <c r="L6" s="101"/>
      <c r="M6" s="669"/>
      <c r="N6" s="347"/>
      <c r="O6" s="2"/>
      <c r="P6" s="1"/>
      <c r="Q6" s="1"/>
      <c r="R6" s="1"/>
      <c r="S6" s="1"/>
      <c r="T6" s="1"/>
      <c r="U6" s="1"/>
      <c r="V6" s="1"/>
      <c r="W6" s="1"/>
      <c r="X6" s="2"/>
      <c r="Y6" s="67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idden="1" x14ac:dyDescent="0.2">
      <c r="A7" s="701" t="s">
        <v>480</v>
      </c>
      <c r="B7" s="300">
        <v>0</v>
      </c>
      <c r="C7" s="702">
        <v>0</v>
      </c>
      <c r="D7" s="703">
        <f>B7-C7</f>
        <v>0</v>
      </c>
      <c r="I7" s="1"/>
      <c r="J7" s="282"/>
      <c r="K7" s="102"/>
      <c r="L7" s="101"/>
      <c r="M7" s="669"/>
      <c r="N7" s="102"/>
      <c r="O7" s="2"/>
      <c r="P7" s="1"/>
      <c r="Q7" s="1"/>
      <c r="R7" s="1"/>
      <c r="S7" s="1"/>
      <c r="T7" s="1"/>
      <c r="U7" s="1"/>
      <c r="V7" s="1"/>
      <c r="W7" s="1"/>
      <c r="X7" s="2"/>
      <c r="Y7" s="67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idden="1" x14ac:dyDescent="0.2">
      <c r="A8" s="672" t="s">
        <v>481</v>
      </c>
      <c r="B8" s="673"/>
      <c r="C8" s="673"/>
      <c r="D8" s="1"/>
      <c r="I8" s="1"/>
      <c r="J8" s="282"/>
      <c r="K8" s="102"/>
      <c r="L8" s="101"/>
      <c r="M8" s="669"/>
      <c r="N8" s="347"/>
      <c r="O8" s="2"/>
      <c r="P8" s="1"/>
      <c r="Q8" s="1"/>
      <c r="R8" s="1"/>
      <c r="S8" s="1"/>
      <c r="T8" s="1"/>
      <c r="U8" s="1"/>
      <c r="V8" s="1"/>
      <c r="W8" s="1"/>
      <c r="X8" s="2"/>
      <c r="Y8" s="67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idden="1" x14ac:dyDescent="0.2">
      <c r="A9" s="672"/>
      <c r="B9" s="673"/>
      <c r="C9" s="673"/>
      <c r="D9" s="1"/>
      <c r="I9" s="1"/>
      <c r="J9" s="282"/>
      <c r="K9" s="102"/>
      <c r="L9" s="101"/>
      <c r="M9" s="669"/>
      <c r="N9" s="347"/>
      <c r="O9" s="2"/>
      <c r="P9" s="1"/>
      <c r="Q9" s="1"/>
      <c r="R9" s="1"/>
      <c r="S9" s="1"/>
      <c r="T9" s="1"/>
      <c r="U9" s="1"/>
      <c r="V9" s="1"/>
      <c r="W9" s="1"/>
      <c r="X9" s="2"/>
      <c r="Y9" s="67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">
      <c r="A10" s="662" t="s">
        <v>482</v>
      </c>
      <c r="B10" s="732" t="s">
        <v>483</v>
      </c>
      <c r="C10" s="732" t="s">
        <v>484</v>
      </c>
      <c r="D10" s="732" t="s">
        <v>476</v>
      </c>
      <c r="I10" s="1"/>
      <c r="J10" s="282"/>
      <c r="K10" s="102"/>
      <c r="L10" s="102"/>
      <c r="M10" s="674"/>
      <c r="N10" s="674"/>
      <c r="O10" s="2"/>
      <c r="P10" s="1"/>
      <c r="Q10" s="1"/>
      <c r="R10" s="1"/>
      <c r="S10" s="1"/>
      <c r="T10" s="1"/>
      <c r="U10" s="1"/>
      <c r="V10" s="1"/>
      <c r="W10" s="1"/>
      <c r="X10" s="2"/>
      <c r="Y10" s="670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671" t="s">
        <v>485</v>
      </c>
      <c r="B11" s="49">
        <v>12</v>
      </c>
      <c r="C11" s="49">
        <v>4</v>
      </c>
      <c r="D11" s="49">
        <f>B11*C11</f>
        <v>48</v>
      </c>
      <c r="E11" s="37" t="s">
        <v>700</v>
      </c>
      <c r="I11" s="1"/>
      <c r="J11" s="282"/>
      <c r="K11" s="663"/>
      <c r="L11" s="102"/>
      <c r="M11" s="669"/>
      <c r="N11" s="102"/>
      <c r="O11" s="2"/>
      <c r="P11" s="1"/>
      <c r="Q11" s="1"/>
      <c r="R11" s="1"/>
      <c r="S11" s="1"/>
      <c r="T11" s="1"/>
      <c r="U11" s="1"/>
      <c r="V11" s="1"/>
      <c r="W11" s="1"/>
      <c r="X11" s="2"/>
      <c r="Y11" s="670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277" t="s">
        <v>486</v>
      </c>
      <c r="B12" s="49">
        <v>12</v>
      </c>
      <c r="C12" s="49">
        <v>186</v>
      </c>
      <c r="D12" s="49">
        <f>B12*C12</f>
        <v>2232</v>
      </c>
      <c r="E12" s="37" t="s">
        <v>699</v>
      </c>
      <c r="I12" s="1"/>
      <c r="J12" s="282"/>
      <c r="K12" s="663"/>
      <c r="L12" s="102"/>
      <c r="M12" s="669"/>
      <c r="N12" s="102"/>
      <c r="O12" s="2"/>
      <c r="P12" s="1"/>
      <c r="Q12" s="1"/>
      <c r="R12" s="1"/>
      <c r="S12" s="1"/>
      <c r="T12" s="1"/>
      <c r="U12" s="1"/>
      <c r="V12" s="1"/>
      <c r="W12" s="1"/>
      <c r="X12" s="2"/>
      <c r="Y12" s="670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302" t="s">
        <v>645</v>
      </c>
      <c r="B13" s="296">
        <v>12</v>
      </c>
      <c r="C13" s="739">
        <v>5</v>
      </c>
      <c r="D13" s="49">
        <f>B13*C13</f>
        <v>60</v>
      </c>
      <c r="E13" s="1492" t="s">
        <v>699</v>
      </c>
      <c r="J13" s="282"/>
      <c r="K13" s="102"/>
      <c r="L13" s="101"/>
      <c r="M13" s="669"/>
      <c r="N13" s="102"/>
      <c r="O13" s="2"/>
      <c r="P13" s="1"/>
      <c r="Q13" s="1"/>
      <c r="R13" s="1"/>
      <c r="S13" s="1"/>
      <c r="T13" s="1"/>
      <c r="U13" s="1"/>
      <c r="V13" s="1"/>
      <c r="W13" s="1"/>
      <c r="X13" s="2"/>
      <c r="Y13" s="67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302"/>
      <c r="B14" s="296"/>
      <c r="C14" s="739"/>
      <c r="D14" s="296"/>
      <c r="E14" s="818"/>
      <c r="J14" s="282"/>
      <c r="K14" s="102"/>
      <c r="L14" s="101"/>
      <c r="M14" s="669"/>
      <c r="N14" s="102"/>
      <c r="O14" s="2"/>
      <c r="P14" s="1"/>
      <c r="Q14" s="1"/>
      <c r="R14" s="1"/>
      <c r="S14" s="1"/>
      <c r="T14" s="1"/>
      <c r="U14" s="1"/>
      <c r="V14" s="1"/>
      <c r="W14" s="1"/>
      <c r="X14" s="2"/>
      <c r="Y14" s="670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02"/>
      <c r="B15" s="296"/>
      <c r="C15" s="739"/>
      <c r="D15" s="296"/>
      <c r="E15" s="818"/>
      <c r="J15" s="282"/>
      <c r="K15" s="102"/>
      <c r="L15" s="101"/>
      <c r="M15" s="669"/>
      <c r="N15" s="102"/>
      <c r="O15" s="2"/>
      <c r="P15" s="1"/>
      <c r="Q15" s="1"/>
      <c r="R15" s="1"/>
      <c r="S15" s="1"/>
      <c r="T15" s="1"/>
      <c r="U15" s="1"/>
      <c r="V15" s="1"/>
      <c r="W15" s="1"/>
      <c r="X15" s="2"/>
      <c r="Y15" s="670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01"/>
      <c r="B16" s="669"/>
      <c r="C16" s="669"/>
      <c r="D16" s="669"/>
      <c r="E16" s="818"/>
      <c r="J16" s="282"/>
      <c r="K16" s="102"/>
      <c r="L16" s="101"/>
      <c r="M16" s="669"/>
      <c r="N16" s="102"/>
      <c r="O16" s="2"/>
      <c r="P16" s="1"/>
      <c r="Q16" s="1"/>
      <c r="R16" s="1"/>
      <c r="S16" s="1"/>
      <c r="T16" s="1"/>
      <c r="U16" s="1"/>
      <c r="V16" s="1"/>
      <c r="W16" s="1"/>
      <c r="X16" s="2"/>
      <c r="Y16" s="670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idden="1" x14ac:dyDescent="0.2">
      <c r="B17" s="14"/>
      <c r="C17" s="14"/>
      <c r="D17" s="675"/>
      <c r="I17" s="1"/>
      <c r="J17" s="282"/>
      <c r="K17" s="546"/>
      <c r="L17" s="102"/>
      <c r="M17" s="674"/>
      <c r="N17" s="674"/>
      <c r="O17" s="2"/>
      <c r="P17" s="1"/>
      <c r="Q17" s="1"/>
      <c r="R17" s="1"/>
      <c r="S17" s="1"/>
      <c r="T17" s="1"/>
      <c r="U17" s="1"/>
      <c r="V17" s="1"/>
      <c r="W17" s="1"/>
      <c r="X17" s="2"/>
      <c r="Y17" s="67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D18" s="14"/>
      <c r="I18" s="1"/>
      <c r="J18" s="1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2"/>
      <c r="Y18" s="67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idden="1" x14ac:dyDescent="0.2">
      <c r="A19" s="676" t="s">
        <v>489</v>
      </c>
      <c r="B19" s="47">
        <v>250</v>
      </c>
      <c r="C19" s="47">
        <v>110</v>
      </c>
      <c r="D19" s="9"/>
      <c r="I19" s="1"/>
      <c r="J19" s="1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2"/>
      <c r="Y19" s="67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293" t="s">
        <v>490</v>
      </c>
      <c r="B20" s="659" t="s">
        <v>487</v>
      </c>
      <c r="C20" s="659" t="s">
        <v>488</v>
      </c>
      <c r="D20" s="9"/>
      <c r="I20" s="1"/>
      <c r="J20" s="1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2"/>
      <c r="Y20" s="67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 t="s">
        <v>592</v>
      </c>
      <c r="B21" s="738">
        <v>300</v>
      </c>
      <c r="C21" s="736">
        <v>150</v>
      </c>
      <c r="D21" s="737">
        <v>1100</v>
      </c>
      <c r="E21" s="37" t="s">
        <v>701</v>
      </c>
      <c r="I21" s="1"/>
      <c r="J21" s="1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2"/>
      <c r="Y21" s="67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02"/>
      <c r="B22" s="296"/>
      <c r="C22" s="296"/>
      <c r="D22" s="29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67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02"/>
      <c r="B23" s="296"/>
      <c r="C23" s="296"/>
      <c r="D23" s="29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670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677"/>
      <c r="B24" s="678"/>
      <c r="C24" s="678"/>
      <c r="D24" s="67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67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2097" t="s">
        <v>4</v>
      </c>
      <c r="B25" s="2098"/>
      <c r="C25" s="2098"/>
      <c r="D25" s="2098"/>
      <c r="E25" s="2098"/>
      <c r="F25" s="2098"/>
      <c r="G25" s="2098"/>
      <c r="H25" s="209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670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679" t="s">
        <v>491</v>
      </c>
      <c r="B26" s="680" t="s">
        <v>492</v>
      </c>
      <c r="C26" s="681" t="s">
        <v>484</v>
      </c>
      <c r="D26" s="681" t="s">
        <v>477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670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784" t="s">
        <v>493</v>
      </c>
      <c r="B27" s="785">
        <v>1</v>
      </c>
      <c r="C27" s="785">
        <f>(3800*5%)+3800+10</f>
        <v>4000</v>
      </c>
      <c r="D27" s="300">
        <f t="shared" ref="D27:D32" si="0">B27*C27</f>
        <v>4000</v>
      </c>
      <c r="E27" s="682" t="s">
        <v>864</v>
      </c>
      <c r="F27" s="683"/>
      <c r="G27" s="683"/>
      <c r="H27" s="683"/>
      <c r="I27" s="68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67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701" t="s">
        <v>494</v>
      </c>
      <c r="B28" s="300">
        <v>0</v>
      </c>
      <c r="C28" s="300">
        <v>750</v>
      </c>
      <c r="D28" s="300">
        <f t="shared" si="0"/>
        <v>0</v>
      </c>
      <c r="E28" s="286" t="s">
        <v>863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67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38.25" hidden="1" x14ac:dyDescent="0.2">
      <c r="A29" s="701" t="s">
        <v>495</v>
      </c>
      <c r="B29" s="300">
        <v>4</v>
      </c>
      <c r="C29" s="300">
        <v>350</v>
      </c>
      <c r="D29" s="300"/>
      <c r="E29" s="928" t="s">
        <v>651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67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701" t="s">
        <v>496</v>
      </c>
      <c r="B30" s="300">
        <v>1</v>
      </c>
      <c r="C30" s="300">
        <v>750</v>
      </c>
      <c r="D30" s="698">
        <f t="shared" si="0"/>
        <v>750</v>
      </c>
      <c r="E30" s="286" t="s">
        <v>704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67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697" t="s">
        <v>497</v>
      </c>
      <c r="B31" s="698">
        <v>21</v>
      </c>
      <c r="C31" s="698">
        <v>22</v>
      </c>
      <c r="D31" s="698">
        <f t="shared" si="0"/>
        <v>462</v>
      </c>
      <c r="E31" s="684" t="s">
        <v>498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67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697" t="s">
        <v>499</v>
      </c>
      <c r="B32" s="698">
        <v>1</v>
      </c>
      <c r="C32" s="300">
        <v>3500</v>
      </c>
      <c r="D32" s="698">
        <f t="shared" si="0"/>
        <v>3500</v>
      </c>
      <c r="E32" s="684" t="s">
        <v>698</v>
      </c>
      <c r="F32" s="68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67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697" t="s">
        <v>500</v>
      </c>
      <c r="B33" s="698">
        <v>0</v>
      </c>
      <c r="C33" s="300">
        <v>1500</v>
      </c>
      <c r="D33" s="728">
        <f>B33*C33</f>
        <v>0</v>
      </c>
      <c r="E33" s="684" t="s">
        <v>655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67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01" t="s">
        <v>501</v>
      </c>
      <c r="B34" s="698">
        <v>1</v>
      </c>
      <c r="C34" s="300">
        <v>15500</v>
      </c>
      <c r="D34" s="698">
        <f>B34*C34+2600</f>
        <v>18100</v>
      </c>
      <c r="E34" s="684" t="s">
        <v>656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67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B35" s="1"/>
      <c r="C35" s="673"/>
      <c r="D35" s="686">
        <f>SUM(D27:D34)</f>
        <v>26812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670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B36" s="1"/>
      <c r="C36" s="673"/>
      <c r="D36" s="67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67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thickBot="1" x14ac:dyDescent="0.25">
      <c r="A37" s="687" t="s">
        <v>502</v>
      </c>
      <c r="B37" s="1"/>
      <c r="C37" s="673"/>
      <c r="D37" s="67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670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1351"/>
      <c r="B38" s="1352"/>
      <c r="C38" s="1352"/>
      <c r="D38" s="688"/>
      <c r="E38" s="688"/>
      <c r="F38" s="688"/>
      <c r="G38" s="688"/>
      <c r="H38" s="68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670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690"/>
      <c r="B39" s="2"/>
      <c r="C39" s="2"/>
      <c r="D39" s="2"/>
      <c r="E39" s="2"/>
      <c r="F39" s="2"/>
      <c r="G39" s="2"/>
      <c r="H39" s="69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670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692"/>
      <c r="B40" s="2"/>
      <c r="C40" s="2"/>
      <c r="D40" s="2"/>
      <c r="E40" s="2"/>
      <c r="F40" s="2"/>
      <c r="G40" s="2"/>
      <c r="H40" s="69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670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692"/>
      <c r="B41" s="2"/>
      <c r="C41" s="2"/>
      <c r="D41" s="2"/>
      <c r="E41" s="2"/>
      <c r="F41" s="2"/>
      <c r="G41" s="2"/>
      <c r="H41" s="69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67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thickBot="1" x14ac:dyDescent="0.25">
      <c r="A42" s="693"/>
      <c r="B42" s="694"/>
      <c r="C42" s="694"/>
      <c r="D42" s="694"/>
      <c r="E42" s="694"/>
      <c r="F42" s="694"/>
      <c r="G42" s="694"/>
      <c r="H42" s="6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670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670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67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670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670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670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670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24" x14ac:dyDescent="0.2">
      <c r="B49" s="1"/>
      <c r="C49" s="1"/>
      <c r="D49" s="1"/>
      <c r="E49" s="1"/>
      <c r="F49" s="1"/>
      <c r="G49" s="1"/>
      <c r="H49" s="1"/>
    </row>
    <row r="50" spans="2:24" x14ac:dyDescent="0.2">
      <c r="B50" s="1"/>
      <c r="C50" s="1"/>
      <c r="D50" s="1"/>
      <c r="E50" s="1"/>
      <c r="F50" s="1"/>
      <c r="G50" s="1"/>
      <c r="H50" s="1"/>
      <c r="X50" s="2"/>
    </row>
    <row r="51" spans="2:24" x14ac:dyDescent="0.2">
      <c r="B51" s="1"/>
      <c r="C51" s="1"/>
      <c r="D51" s="1"/>
      <c r="E51" s="1"/>
      <c r="F51" s="1"/>
      <c r="G51" s="1"/>
      <c r="H51" s="1"/>
      <c r="X51" s="2"/>
    </row>
    <row r="52" spans="2:24" x14ac:dyDescent="0.2">
      <c r="B52" s="1"/>
      <c r="C52" s="1"/>
      <c r="D52" s="1"/>
      <c r="E52" s="1"/>
      <c r="F52" s="1"/>
      <c r="G52" s="1"/>
      <c r="H52" s="1"/>
      <c r="X52" s="2"/>
    </row>
    <row r="53" spans="2:24" x14ac:dyDescent="0.2">
      <c r="B53" s="1"/>
      <c r="C53" s="1"/>
      <c r="D53" s="1"/>
      <c r="E53" s="1"/>
      <c r="F53" s="1"/>
      <c r="G53" s="1"/>
      <c r="H53" s="1"/>
      <c r="X53" s="2"/>
    </row>
    <row r="54" spans="2:24" x14ac:dyDescent="0.2">
      <c r="B54" s="1"/>
      <c r="C54" s="1"/>
      <c r="D54" s="1"/>
      <c r="E54" s="1"/>
      <c r="F54" s="1"/>
      <c r="G54" s="1"/>
      <c r="H54" s="1"/>
      <c r="X54" s="2"/>
    </row>
    <row r="55" spans="2:24" x14ac:dyDescent="0.2">
      <c r="B55" s="1"/>
      <c r="C55" s="1"/>
      <c r="D55" s="1"/>
      <c r="E55" s="1"/>
      <c r="F55" s="1"/>
      <c r="G55" s="1"/>
      <c r="H55" s="1"/>
      <c r="X55" s="2"/>
    </row>
    <row r="56" spans="2:24" x14ac:dyDescent="0.2">
      <c r="B56" s="1"/>
      <c r="C56" s="1"/>
      <c r="D56" s="1"/>
      <c r="E56" s="1"/>
      <c r="F56" s="1"/>
      <c r="G56" s="1"/>
      <c r="H56" s="1"/>
    </row>
    <row r="57" spans="2:24" x14ac:dyDescent="0.2">
      <c r="B57" s="1"/>
      <c r="C57" s="1"/>
      <c r="D57" s="1"/>
      <c r="E57" s="1"/>
      <c r="F57" s="1"/>
      <c r="G57" s="1"/>
      <c r="H57" s="1"/>
    </row>
    <row r="58" spans="2:24" x14ac:dyDescent="0.2">
      <c r="B58" s="1"/>
      <c r="C58" s="1"/>
      <c r="D58" s="1"/>
      <c r="E58" s="1"/>
      <c r="F58" s="1"/>
      <c r="G58" s="1"/>
      <c r="H58" s="1"/>
    </row>
    <row r="59" spans="2:24" x14ac:dyDescent="0.2">
      <c r="B59" s="1"/>
      <c r="C59" s="1"/>
      <c r="D59" s="1"/>
      <c r="E59" s="1"/>
    </row>
    <row r="60" spans="2:24" x14ac:dyDescent="0.2">
      <c r="B60" s="1"/>
      <c r="C60" s="1"/>
      <c r="D60" s="1"/>
      <c r="E60" s="1"/>
    </row>
    <row r="61" spans="2:24" x14ac:dyDescent="0.2">
      <c r="B61" s="1"/>
      <c r="C61" s="1"/>
      <c r="D61" s="1"/>
      <c r="E61" s="1"/>
    </row>
    <row r="62" spans="2:24" x14ac:dyDescent="0.2">
      <c r="B62" s="1"/>
      <c r="C62" s="1"/>
      <c r="D62" s="1"/>
      <c r="E62" s="1"/>
      <c r="X62" s="2"/>
    </row>
    <row r="63" spans="2:24" x14ac:dyDescent="0.2">
      <c r="B63" s="1"/>
      <c r="C63" s="1"/>
      <c r="D63" s="1"/>
      <c r="E63" s="1"/>
      <c r="X63" s="2"/>
    </row>
    <row r="64" spans="2:24" x14ac:dyDescent="0.2">
      <c r="B64" s="1"/>
      <c r="C64" s="1"/>
      <c r="D64" s="1"/>
      <c r="E64" s="1"/>
      <c r="X64" s="2"/>
    </row>
    <row r="65" spans="2:24" x14ac:dyDescent="0.2">
      <c r="B65" s="1"/>
      <c r="C65" s="1"/>
      <c r="D65" s="1"/>
      <c r="E65" s="1"/>
    </row>
    <row r="66" spans="2:24" x14ac:dyDescent="0.2">
      <c r="B66" s="1"/>
      <c r="C66" s="1"/>
      <c r="D66" s="1"/>
      <c r="E66" s="1"/>
      <c r="X66" s="2"/>
    </row>
    <row r="67" spans="2:24" x14ac:dyDescent="0.2">
      <c r="B67" s="1"/>
      <c r="C67" s="1"/>
      <c r="D67" s="1"/>
      <c r="E67" s="1"/>
      <c r="X67" s="2"/>
    </row>
    <row r="68" spans="2:24" x14ac:dyDescent="0.2">
      <c r="B68" s="1"/>
      <c r="C68" s="1"/>
      <c r="D68" s="1"/>
      <c r="E68" s="1"/>
      <c r="X68" s="2"/>
    </row>
    <row r="69" spans="2:24" x14ac:dyDescent="0.2">
      <c r="B69" s="1"/>
      <c r="C69" s="1"/>
      <c r="D69" s="1"/>
      <c r="E69" s="1"/>
    </row>
    <row r="70" spans="2:24" x14ac:dyDescent="0.2">
      <c r="B70" s="1"/>
      <c r="C70" s="1"/>
      <c r="D70" s="1"/>
      <c r="E70" s="1"/>
    </row>
    <row r="71" spans="2:24" x14ac:dyDescent="0.2">
      <c r="B71" s="1"/>
      <c r="C71" s="1"/>
      <c r="D71" s="1"/>
      <c r="E71" s="1"/>
    </row>
    <row r="72" spans="2:24" x14ac:dyDescent="0.2">
      <c r="B72" s="1"/>
      <c r="C72" s="1"/>
      <c r="D72" s="1"/>
      <c r="E72" s="1"/>
    </row>
    <row r="73" spans="2:24" x14ac:dyDescent="0.2">
      <c r="B73" s="1"/>
      <c r="C73" s="1"/>
      <c r="D73" s="1"/>
      <c r="E73" s="1"/>
    </row>
    <row r="74" spans="2:24" x14ac:dyDescent="0.2">
      <c r="B74" s="1"/>
      <c r="C74" s="1"/>
      <c r="D74" s="1"/>
      <c r="E74" s="1"/>
      <c r="X74" s="2"/>
    </row>
    <row r="75" spans="2:24" x14ac:dyDescent="0.2">
      <c r="B75" s="1"/>
      <c r="C75" s="1"/>
      <c r="D75" s="1"/>
      <c r="E75" s="1"/>
      <c r="X75" s="2"/>
    </row>
    <row r="76" spans="2:24" x14ac:dyDescent="0.2">
      <c r="B76" s="1"/>
      <c r="C76" s="1"/>
      <c r="D76" s="1"/>
      <c r="E76" s="1"/>
      <c r="X76" s="2"/>
    </row>
    <row r="77" spans="2:24" x14ac:dyDescent="0.2">
      <c r="B77" s="1"/>
      <c r="C77" s="1"/>
      <c r="D77" s="1"/>
      <c r="E77" s="1"/>
      <c r="X77" s="2"/>
    </row>
    <row r="78" spans="2:24" x14ac:dyDescent="0.2">
      <c r="B78" s="1"/>
      <c r="C78" s="1"/>
      <c r="D78" s="1"/>
      <c r="E78" s="1"/>
    </row>
    <row r="79" spans="2:24" x14ac:dyDescent="0.2">
      <c r="B79" s="1"/>
      <c r="C79" s="1"/>
      <c r="D79" s="1"/>
      <c r="E79" s="1"/>
      <c r="X79" s="2"/>
    </row>
    <row r="80" spans="2:24" x14ac:dyDescent="0.2">
      <c r="B80" s="1"/>
      <c r="C80" s="1"/>
      <c r="D80" s="1"/>
      <c r="E80" s="1"/>
      <c r="X80" s="2"/>
    </row>
    <row r="81" spans="2:24" x14ac:dyDescent="0.2">
      <c r="B81" s="1"/>
      <c r="C81" s="1"/>
      <c r="D81" s="1"/>
      <c r="E81" s="1"/>
      <c r="X81" s="2"/>
    </row>
    <row r="82" spans="2:24" x14ac:dyDescent="0.2">
      <c r="B82" s="1"/>
      <c r="C82" s="1"/>
      <c r="D82" s="1"/>
      <c r="E82" s="1"/>
      <c r="X82" s="2"/>
    </row>
    <row r="83" spans="2:24" x14ac:dyDescent="0.2">
      <c r="B83" s="1"/>
      <c r="C83" s="1"/>
      <c r="D83" s="1"/>
      <c r="E83" s="1"/>
      <c r="X83" s="2"/>
    </row>
    <row r="84" spans="2:24" x14ac:dyDescent="0.2">
      <c r="B84" s="1"/>
      <c r="C84" s="1"/>
      <c r="D84" s="1"/>
      <c r="E84" s="1"/>
    </row>
    <row r="85" spans="2:24" x14ac:dyDescent="0.2">
      <c r="B85" s="1"/>
      <c r="C85" s="1"/>
      <c r="D85" s="1"/>
      <c r="E85" s="1"/>
    </row>
    <row r="86" spans="2:24" x14ac:dyDescent="0.2">
      <c r="B86" s="1"/>
      <c r="C86" s="1"/>
      <c r="D86" s="1"/>
      <c r="E86" s="1"/>
    </row>
    <row r="87" spans="2:24" x14ac:dyDescent="0.2">
      <c r="B87" s="1"/>
      <c r="C87" s="1"/>
      <c r="D87" s="1"/>
      <c r="E87" s="1"/>
    </row>
    <row r="88" spans="2:24" x14ac:dyDescent="0.2">
      <c r="B88" s="1"/>
      <c r="C88" s="1"/>
      <c r="D88" s="1"/>
      <c r="E88" s="1"/>
    </row>
    <row r="89" spans="2:24" x14ac:dyDescent="0.2">
      <c r="B89" s="1"/>
      <c r="C89" s="1"/>
      <c r="D89" s="1"/>
      <c r="E89" s="1"/>
    </row>
    <row r="90" spans="2:24" x14ac:dyDescent="0.2">
      <c r="B90" s="1"/>
      <c r="C90" s="1"/>
      <c r="D90" s="1"/>
      <c r="E90" s="1"/>
      <c r="X90" s="2"/>
    </row>
    <row r="91" spans="2:24" x14ac:dyDescent="0.2">
      <c r="B91" s="1"/>
      <c r="C91" s="1"/>
      <c r="D91" s="1"/>
      <c r="E91" s="1"/>
      <c r="X91" s="2"/>
    </row>
    <row r="92" spans="2:24" x14ac:dyDescent="0.2">
      <c r="X92" s="2"/>
    </row>
    <row r="93" spans="2:24" x14ac:dyDescent="0.2">
      <c r="X93" s="2"/>
    </row>
    <row r="94" spans="2:24" x14ac:dyDescent="0.2">
      <c r="X94" s="2"/>
    </row>
    <row r="95" spans="2:24" x14ac:dyDescent="0.2">
      <c r="X95" s="2"/>
    </row>
    <row r="96" spans="2:24" x14ac:dyDescent="0.2">
      <c r="X96" s="2"/>
    </row>
    <row r="97" spans="24:27" x14ac:dyDescent="0.2">
      <c r="X97" s="2"/>
    </row>
    <row r="98" spans="24:27" x14ac:dyDescent="0.2">
      <c r="X98" s="2"/>
    </row>
    <row r="99" spans="24:27" x14ac:dyDescent="0.2">
      <c r="X99" s="33"/>
      <c r="Y99" s="696"/>
      <c r="Z99" s="14"/>
      <c r="AA99" s="14"/>
    </row>
    <row r="100" spans="24:27" x14ac:dyDescent="0.2">
      <c r="X100" s="2"/>
    </row>
    <row r="101" spans="24:27" x14ac:dyDescent="0.2">
      <c r="X101" s="2"/>
    </row>
    <row r="102" spans="24:27" x14ac:dyDescent="0.2">
      <c r="X102" s="2"/>
    </row>
    <row r="103" spans="24:27" x14ac:dyDescent="0.2">
      <c r="X103" s="2"/>
    </row>
    <row r="104" spans="24:27" x14ac:dyDescent="0.2">
      <c r="X104" s="2"/>
    </row>
    <row r="105" spans="24:27" x14ac:dyDescent="0.2">
      <c r="X105" s="2"/>
    </row>
    <row r="106" spans="24:27" x14ac:dyDescent="0.2">
      <c r="X106" s="2"/>
    </row>
    <row r="107" spans="24:27" x14ac:dyDescent="0.2">
      <c r="X107" s="2"/>
    </row>
    <row r="108" spans="24:27" x14ac:dyDescent="0.2">
      <c r="X108" s="2"/>
    </row>
    <row r="109" spans="24:27" x14ac:dyDescent="0.2">
      <c r="X109" s="2"/>
    </row>
    <row r="110" spans="24:27" x14ac:dyDescent="0.2">
      <c r="X110" s="2"/>
    </row>
    <row r="111" spans="24:27" x14ac:dyDescent="0.2">
      <c r="X111" s="2"/>
    </row>
    <row r="112" spans="24:27" x14ac:dyDescent="0.2">
      <c r="X112" s="2"/>
    </row>
    <row r="113" spans="24:24" x14ac:dyDescent="0.2">
      <c r="X113" s="2"/>
    </row>
    <row r="114" spans="24:24" x14ac:dyDescent="0.2">
      <c r="X114" s="2"/>
    </row>
    <row r="115" spans="24:24" x14ac:dyDescent="0.2">
      <c r="X115" s="2"/>
    </row>
    <row r="116" spans="24:24" x14ac:dyDescent="0.2">
      <c r="X116" s="2"/>
    </row>
    <row r="117" spans="24:24" x14ac:dyDescent="0.2">
      <c r="X117" s="2"/>
    </row>
    <row r="118" spans="24:24" x14ac:dyDescent="0.2">
      <c r="X118" s="2"/>
    </row>
    <row r="119" spans="24:24" x14ac:dyDescent="0.2">
      <c r="X119" s="2"/>
    </row>
    <row r="120" spans="24:24" x14ac:dyDescent="0.2">
      <c r="X120" s="2"/>
    </row>
    <row r="121" spans="24:24" x14ac:dyDescent="0.2">
      <c r="X121" s="2"/>
    </row>
    <row r="122" spans="24:24" x14ac:dyDescent="0.2">
      <c r="X122" s="2"/>
    </row>
    <row r="123" spans="24:24" x14ac:dyDescent="0.2">
      <c r="X123" s="2"/>
    </row>
    <row r="124" spans="24:24" x14ac:dyDescent="0.2">
      <c r="X124" s="2"/>
    </row>
    <row r="125" spans="24:24" x14ac:dyDescent="0.2">
      <c r="X125" s="2"/>
    </row>
    <row r="126" spans="24:24" x14ac:dyDescent="0.2">
      <c r="X126" s="2"/>
    </row>
    <row r="127" spans="24:24" x14ac:dyDescent="0.2">
      <c r="X127" s="2"/>
    </row>
    <row r="128" spans="24:24" x14ac:dyDescent="0.2">
      <c r="X128" s="2"/>
    </row>
    <row r="129" spans="24:24" x14ac:dyDescent="0.2">
      <c r="X129" s="2"/>
    </row>
    <row r="130" spans="24:24" x14ac:dyDescent="0.2">
      <c r="X130" s="2"/>
    </row>
    <row r="131" spans="24:24" x14ac:dyDescent="0.2">
      <c r="X131" s="2"/>
    </row>
    <row r="132" spans="24:24" x14ac:dyDescent="0.2">
      <c r="X132" s="2"/>
    </row>
    <row r="133" spans="24:24" x14ac:dyDescent="0.2">
      <c r="X133" s="2"/>
    </row>
    <row r="134" spans="24:24" x14ac:dyDescent="0.2">
      <c r="X134" s="2"/>
    </row>
    <row r="135" spans="24:24" x14ac:dyDescent="0.2">
      <c r="X135" s="2"/>
    </row>
    <row r="136" spans="24:24" x14ac:dyDescent="0.2">
      <c r="X136" s="2"/>
    </row>
    <row r="137" spans="24:24" x14ac:dyDescent="0.2">
      <c r="X137" s="2"/>
    </row>
    <row r="138" spans="24:24" x14ac:dyDescent="0.2">
      <c r="X138" s="2"/>
    </row>
    <row r="139" spans="24:24" x14ac:dyDescent="0.2">
      <c r="X139" s="2"/>
    </row>
    <row r="140" spans="24:24" x14ac:dyDescent="0.2">
      <c r="X140" s="2"/>
    </row>
    <row r="141" spans="24:24" x14ac:dyDescent="0.2">
      <c r="X141" s="2"/>
    </row>
    <row r="142" spans="24:24" x14ac:dyDescent="0.2">
      <c r="X142" s="2"/>
    </row>
    <row r="143" spans="24:24" x14ac:dyDescent="0.2">
      <c r="X143" s="2"/>
    </row>
    <row r="144" spans="24:24" x14ac:dyDescent="0.2">
      <c r="X144" s="2"/>
    </row>
    <row r="145" spans="24:24" x14ac:dyDescent="0.2">
      <c r="X145" s="2"/>
    </row>
    <row r="146" spans="24:24" x14ac:dyDescent="0.2">
      <c r="X146" s="2"/>
    </row>
    <row r="147" spans="24:24" x14ac:dyDescent="0.2">
      <c r="X147" s="2"/>
    </row>
    <row r="148" spans="24:24" x14ac:dyDescent="0.2">
      <c r="X148" s="2"/>
    </row>
    <row r="149" spans="24:24" x14ac:dyDescent="0.2">
      <c r="X149" s="2"/>
    </row>
    <row r="150" spans="24:24" x14ac:dyDescent="0.2">
      <c r="X150" s="2"/>
    </row>
    <row r="151" spans="24:24" x14ac:dyDescent="0.2">
      <c r="X151" s="2"/>
    </row>
    <row r="152" spans="24:24" x14ac:dyDescent="0.2">
      <c r="X152" s="2"/>
    </row>
    <row r="153" spans="24:24" x14ac:dyDescent="0.2">
      <c r="X153" s="2"/>
    </row>
    <row r="154" spans="24:24" x14ac:dyDescent="0.2">
      <c r="X154" s="2"/>
    </row>
    <row r="155" spans="24:24" x14ac:dyDescent="0.2">
      <c r="X155" s="2"/>
    </row>
    <row r="156" spans="24:24" x14ac:dyDescent="0.2">
      <c r="X156" s="2"/>
    </row>
    <row r="157" spans="24:24" x14ac:dyDescent="0.2">
      <c r="X157" s="2"/>
    </row>
    <row r="158" spans="24:24" x14ac:dyDescent="0.2">
      <c r="X158" s="2"/>
    </row>
    <row r="159" spans="24:24" x14ac:dyDescent="0.2">
      <c r="X159" s="2"/>
    </row>
    <row r="160" spans="24:24" x14ac:dyDescent="0.2">
      <c r="X160" s="2"/>
    </row>
    <row r="161" spans="24:24" x14ac:dyDescent="0.2">
      <c r="X161" s="2"/>
    </row>
    <row r="162" spans="24:24" x14ac:dyDescent="0.2">
      <c r="X162" s="2"/>
    </row>
    <row r="163" spans="24:24" x14ac:dyDescent="0.2">
      <c r="X163" s="2"/>
    </row>
    <row r="164" spans="24:24" x14ac:dyDescent="0.2">
      <c r="X164" s="2"/>
    </row>
    <row r="165" spans="24:24" x14ac:dyDescent="0.2">
      <c r="X165" s="2"/>
    </row>
    <row r="166" spans="24:24" x14ac:dyDescent="0.2">
      <c r="X166" s="2"/>
    </row>
    <row r="167" spans="24:24" x14ac:dyDescent="0.2">
      <c r="X167" s="2"/>
    </row>
    <row r="168" spans="24:24" x14ac:dyDescent="0.2">
      <c r="X168" s="2"/>
    </row>
    <row r="169" spans="24:24" x14ac:dyDescent="0.2">
      <c r="X169" s="2"/>
    </row>
    <row r="170" spans="24:24" x14ac:dyDescent="0.2">
      <c r="X170" s="2"/>
    </row>
    <row r="171" spans="24:24" x14ac:dyDescent="0.2">
      <c r="X171" s="2"/>
    </row>
    <row r="172" spans="24:24" x14ac:dyDescent="0.2">
      <c r="X172" s="2"/>
    </row>
    <row r="173" spans="24:24" x14ac:dyDescent="0.2">
      <c r="X173" s="2"/>
    </row>
    <row r="174" spans="24:24" x14ac:dyDescent="0.2">
      <c r="X174" s="2"/>
    </row>
    <row r="175" spans="24:24" x14ac:dyDescent="0.2">
      <c r="X175" s="2"/>
    </row>
    <row r="176" spans="24:24" x14ac:dyDescent="0.2">
      <c r="X176" s="2"/>
    </row>
    <row r="177" spans="24:24" x14ac:dyDescent="0.2">
      <c r="X177" s="2"/>
    </row>
    <row r="178" spans="24:24" x14ac:dyDescent="0.2">
      <c r="X178" s="2"/>
    </row>
    <row r="179" spans="24:24" x14ac:dyDescent="0.2">
      <c r="X179" s="2"/>
    </row>
    <row r="180" spans="24:24" x14ac:dyDescent="0.2">
      <c r="X180" s="2"/>
    </row>
    <row r="181" spans="24:24" x14ac:dyDescent="0.2">
      <c r="X181" s="2"/>
    </row>
    <row r="182" spans="24:24" x14ac:dyDescent="0.2">
      <c r="X182" s="2"/>
    </row>
    <row r="183" spans="24:24" x14ac:dyDescent="0.2">
      <c r="X183" s="2"/>
    </row>
    <row r="184" spans="24:24" x14ac:dyDescent="0.2">
      <c r="X184" s="2"/>
    </row>
    <row r="185" spans="24:24" x14ac:dyDescent="0.2">
      <c r="X185" s="2"/>
    </row>
    <row r="186" spans="24:24" x14ac:dyDescent="0.2">
      <c r="X186" s="2"/>
    </row>
    <row r="187" spans="24:24" x14ac:dyDescent="0.2">
      <c r="X187" s="2"/>
    </row>
    <row r="188" spans="24:24" x14ac:dyDescent="0.2">
      <c r="X188" s="2"/>
    </row>
    <row r="189" spans="24:24" x14ac:dyDescent="0.2">
      <c r="X189" s="2"/>
    </row>
    <row r="190" spans="24:24" x14ac:dyDescent="0.2">
      <c r="X190" s="2"/>
    </row>
    <row r="191" spans="24:24" x14ac:dyDescent="0.2">
      <c r="X191" s="2"/>
    </row>
    <row r="192" spans="24:24" x14ac:dyDescent="0.2">
      <c r="X192" s="2"/>
    </row>
    <row r="193" spans="24:24" x14ac:dyDescent="0.2">
      <c r="X193" s="2"/>
    </row>
    <row r="194" spans="24:24" x14ac:dyDescent="0.2">
      <c r="X194" s="2"/>
    </row>
    <row r="195" spans="24:24" x14ac:dyDescent="0.2">
      <c r="X195" s="2"/>
    </row>
    <row r="196" spans="24:24" x14ac:dyDescent="0.2">
      <c r="X196" s="2"/>
    </row>
    <row r="197" spans="24:24" x14ac:dyDescent="0.2">
      <c r="X197" s="2"/>
    </row>
    <row r="198" spans="24:24" x14ac:dyDescent="0.2">
      <c r="X198" s="2"/>
    </row>
    <row r="199" spans="24:24" x14ac:dyDescent="0.2">
      <c r="X199" s="2"/>
    </row>
    <row r="200" spans="24:24" x14ac:dyDescent="0.2">
      <c r="X200" s="2"/>
    </row>
    <row r="201" spans="24:24" x14ac:dyDescent="0.2">
      <c r="X201" s="2"/>
    </row>
    <row r="202" spans="24:24" x14ac:dyDescent="0.2">
      <c r="X202" s="2"/>
    </row>
    <row r="203" spans="24:24" x14ac:dyDescent="0.2">
      <c r="X203" s="2"/>
    </row>
    <row r="204" spans="24:24" x14ac:dyDescent="0.2">
      <c r="X204" s="2"/>
    </row>
    <row r="205" spans="24:24" x14ac:dyDescent="0.2">
      <c r="X205" s="2"/>
    </row>
    <row r="206" spans="24:24" x14ac:dyDescent="0.2">
      <c r="X206" s="2"/>
    </row>
    <row r="207" spans="24:24" x14ac:dyDescent="0.2">
      <c r="X207" s="2"/>
    </row>
    <row r="208" spans="24:24" x14ac:dyDescent="0.2">
      <c r="X208" s="2"/>
    </row>
    <row r="209" spans="24:24" x14ac:dyDescent="0.2">
      <c r="X209" s="2"/>
    </row>
    <row r="210" spans="24:24" x14ac:dyDescent="0.2">
      <c r="X210" s="2"/>
    </row>
    <row r="211" spans="24:24" x14ac:dyDescent="0.2">
      <c r="X211" s="2"/>
    </row>
    <row r="212" spans="24:24" x14ac:dyDescent="0.2">
      <c r="X212" s="2"/>
    </row>
    <row r="213" spans="24:24" x14ac:dyDescent="0.2">
      <c r="X213" s="2"/>
    </row>
    <row r="214" spans="24:24" x14ac:dyDescent="0.2">
      <c r="X214" s="2"/>
    </row>
    <row r="215" spans="24:24" x14ac:dyDescent="0.2">
      <c r="X215" s="2"/>
    </row>
    <row r="216" spans="24:24" x14ac:dyDescent="0.2">
      <c r="X216" s="2"/>
    </row>
    <row r="217" spans="24:24" x14ac:dyDescent="0.2">
      <c r="X217" s="2"/>
    </row>
    <row r="218" spans="24:24" x14ac:dyDescent="0.2">
      <c r="X218" s="2"/>
    </row>
    <row r="219" spans="24:24" x14ac:dyDescent="0.2">
      <c r="X219" s="2"/>
    </row>
    <row r="220" spans="24:24" x14ac:dyDescent="0.2">
      <c r="X220" s="2"/>
    </row>
    <row r="221" spans="24:24" x14ac:dyDescent="0.2">
      <c r="X221" s="2"/>
    </row>
    <row r="222" spans="24:24" x14ac:dyDescent="0.2">
      <c r="X222" s="2"/>
    </row>
    <row r="223" spans="24:24" x14ac:dyDescent="0.2">
      <c r="X223" s="2"/>
    </row>
    <row r="224" spans="24:24" x14ac:dyDescent="0.2">
      <c r="X224" s="2"/>
    </row>
    <row r="225" spans="24:24" x14ac:dyDescent="0.2">
      <c r="X225" s="2"/>
    </row>
    <row r="226" spans="24:24" x14ac:dyDescent="0.2">
      <c r="X226" s="2"/>
    </row>
    <row r="227" spans="24:24" x14ac:dyDescent="0.2">
      <c r="X227" s="2"/>
    </row>
    <row r="228" spans="24:24" x14ac:dyDescent="0.2">
      <c r="X228" s="2"/>
    </row>
    <row r="229" spans="24:24" x14ac:dyDescent="0.2">
      <c r="X229" s="2"/>
    </row>
    <row r="230" spans="24:24" x14ac:dyDescent="0.2">
      <c r="X230" s="2"/>
    </row>
    <row r="231" spans="24:24" x14ac:dyDescent="0.2">
      <c r="X231" s="2"/>
    </row>
    <row r="232" spans="24:24" x14ac:dyDescent="0.2">
      <c r="X232" s="2"/>
    </row>
    <row r="233" spans="24:24" x14ac:dyDescent="0.2">
      <c r="X233" s="2"/>
    </row>
    <row r="234" spans="24:24" x14ac:dyDescent="0.2">
      <c r="X234" s="2"/>
    </row>
    <row r="235" spans="24:24" x14ac:dyDescent="0.2">
      <c r="X235" s="2"/>
    </row>
    <row r="236" spans="24:24" x14ac:dyDescent="0.2">
      <c r="X236" s="2"/>
    </row>
    <row r="237" spans="24:24" x14ac:dyDescent="0.2">
      <c r="X237" s="2"/>
    </row>
    <row r="238" spans="24:24" x14ac:dyDescent="0.2">
      <c r="X238" s="2"/>
    </row>
    <row r="239" spans="24:24" x14ac:dyDescent="0.2">
      <c r="X239" s="2"/>
    </row>
    <row r="240" spans="24:24" x14ac:dyDescent="0.2">
      <c r="X240" s="2"/>
    </row>
    <row r="241" spans="24:24" x14ac:dyDescent="0.2">
      <c r="X241" s="2"/>
    </row>
    <row r="242" spans="24:24" x14ac:dyDescent="0.2">
      <c r="X242" s="2"/>
    </row>
    <row r="243" spans="24:24" x14ac:dyDescent="0.2">
      <c r="X243" s="2"/>
    </row>
    <row r="244" spans="24:24" x14ac:dyDescent="0.2">
      <c r="X244" s="2"/>
    </row>
    <row r="245" spans="24:24" x14ac:dyDescent="0.2">
      <c r="X245" s="2"/>
    </row>
    <row r="246" spans="24:24" x14ac:dyDescent="0.2">
      <c r="X246" s="2"/>
    </row>
    <row r="247" spans="24:24" x14ac:dyDescent="0.2">
      <c r="X247" s="2"/>
    </row>
    <row r="248" spans="24:24" x14ac:dyDescent="0.2">
      <c r="X248" s="2"/>
    </row>
    <row r="249" spans="24:24" x14ac:dyDescent="0.2">
      <c r="X249" s="2"/>
    </row>
    <row r="250" spans="24:24" x14ac:dyDescent="0.2">
      <c r="X250" s="2"/>
    </row>
    <row r="251" spans="24:24" x14ac:dyDescent="0.2">
      <c r="X251" s="2"/>
    </row>
    <row r="252" spans="24:24" x14ac:dyDescent="0.2">
      <c r="X252" s="2"/>
    </row>
    <row r="253" spans="24:24" x14ac:dyDescent="0.2">
      <c r="X253" s="2"/>
    </row>
    <row r="254" spans="24:24" x14ac:dyDescent="0.2">
      <c r="X254" s="2"/>
    </row>
    <row r="255" spans="24:24" x14ac:dyDescent="0.2">
      <c r="X255" s="2"/>
    </row>
    <row r="256" spans="24:24" x14ac:dyDescent="0.2">
      <c r="X256" s="2"/>
    </row>
    <row r="257" spans="24:24" x14ac:dyDescent="0.2">
      <c r="X257" s="2"/>
    </row>
    <row r="258" spans="24:24" x14ac:dyDescent="0.2">
      <c r="X258" s="2"/>
    </row>
    <row r="259" spans="24:24" x14ac:dyDescent="0.2">
      <c r="X259" s="2"/>
    </row>
    <row r="260" spans="24:24" x14ac:dyDescent="0.2">
      <c r="X260" s="2"/>
    </row>
    <row r="261" spans="24:24" x14ac:dyDescent="0.2">
      <c r="X261" s="2"/>
    </row>
    <row r="262" spans="24:24" x14ac:dyDescent="0.2">
      <c r="X262" s="2"/>
    </row>
    <row r="263" spans="24:24" x14ac:dyDescent="0.2">
      <c r="X263" s="2"/>
    </row>
    <row r="264" spans="24:24" x14ac:dyDescent="0.2">
      <c r="X264" s="2"/>
    </row>
    <row r="265" spans="24:24" x14ac:dyDescent="0.2">
      <c r="X265" s="2"/>
    </row>
    <row r="266" spans="24:24" x14ac:dyDescent="0.2">
      <c r="X266" s="2"/>
    </row>
    <row r="267" spans="24:24" x14ac:dyDescent="0.2">
      <c r="X267" s="2"/>
    </row>
    <row r="268" spans="24:24" x14ac:dyDescent="0.2">
      <c r="X268" s="2"/>
    </row>
    <row r="269" spans="24:24" x14ac:dyDescent="0.2">
      <c r="X269" s="2"/>
    </row>
    <row r="270" spans="24:24" x14ac:dyDescent="0.2">
      <c r="X270" s="2"/>
    </row>
    <row r="271" spans="24:24" x14ac:dyDescent="0.2">
      <c r="X271" s="2"/>
    </row>
    <row r="272" spans="24:24" x14ac:dyDescent="0.2">
      <c r="X272" s="2"/>
    </row>
    <row r="273" spans="24:24" x14ac:dyDescent="0.2">
      <c r="X273" s="2"/>
    </row>
    <row r="274" spans="24:24" x14ac:dyDescent="0.2">
      <c r="X274" s="2"/>
    </row>
    <row r="275" spans="24:24" x14ac:dyDescent="0.2">
      <c r="X275" s="2"/>
    </row>
    <row r="276" spans="24:24" x14ac:dyDescent="0.2">
      <c r="X276" s="2"/>
    </row>
    <row r="277" spans="24:24" x14ac:dyDescent="0.2">
      <c r="X277" s="2"/>
    </row>
    <row r="278" spans="24:24" x14ac:dyDescent="0.2">
      <c r="X278" s="2"/>
    </row>
    <row r="279" spans="24:24" x14ac:dyDescent="0.2">
      <c r="X279" s="2"/>
    </row>
    <row r="280" spans="24:24" x14ac:dyDescent="0.2">
      <c r="X280" s="2"/>
    </row>
    <row r="281" spans="24:24" x14ac:dyDescent="0.2">
      <c r="X281" s="2"/>
    </row>
    <row r="282" spans="24:24" x14ac:dyDescent="0.2">
      <c r="X282" s="2"/>
    </row>
    <row r="283" spans="24:24" x14ac:dyDescent="0.2">
      <c r="X283" s="2"/>
    </row>
    <row r="284" spans="24:24" x14ac:dyDescent="0.2">
      <c r="X284" s="2"/>
    </row>
    <row r="285" spans="24:24" x14ac:dyDescent="0.2">
      <c r="X285" s="2"/>
    </row>
    <row r="286" spans="24:24" x14ac:dyDescent="0.2">
      <c r="X286" s="2"/>
    </row>
    <row r="287" spans="24:24" x14ac:dyDescent="0.2">
      <c r="X287" s="2"/>
    </row>
    <row r="288" spans="24:24" x14ac:dyDescent="0.2">
      <c r="X288" s="2"/>
    </row>
    <row r="289" spans="24:24" x14ac:dyDescent="0.2">
      <c r="X289" s="2"/>
    </row>
    <row r="290" spans="24:24" x14ac:dyDescent="0.2">
      <c r="X290" s="2"/>
    </row>
    <row r="291" spans="24:24" x14ac:dyDescent="0.2">
      <c r="X291" s="2"/>
    </row>
    <row r="292" spans="24:24" x14ac:dyDescent="0.2">
      <c r="X292" s="2"/>
    </row>
    <row r="293" spans="24:24" x14ac:dyDescent="0.2">
      <c r="X293" s="2"/>
    </row>
    <row r="294" spans="24:24" x14ac:dyDescent="0.2">
      <c r="X294" s="2"/>
    </row>
    <row r="295" spans="24:24" x14ac:dyDescent="0.2">
      <c r="X295" s="2"/>
    </row>
    <row r="296" spans="24:24" x14ac:dyDescent="0.2">
      <c r="X296" s="2"/>
    </row>
    <row r="297" spans="24:24" x14ac:dyDescent="0.2">
      <c r="X297" s="2"/>
    </row>
    <row r="298" spans="24:24" x14ac:dyDescent="0.2">
      <c r="X298" s="2"/>
    </row>
    <row r="299" spans="24:24" x14ac:dyDescent="0.2">
      <c r="X299" s="2"/>
    </row>
    <row r="300" spans="24:24" x14ac:dyDescent="0.2">
      <c r="X300" s="2"/>
    </row>
    <row r="301" spans="24:24" x14ac:dyDescent="0.2">
      <c r="X301" s="2"/>
    </row>
    <row r="302" spans="24:24" x14ac:dyDescent="0.2">
      <c r="X302" s="2"/>
    </row>
    <row r="303" spans="24:24" x14ac:dyDescent="0.2">
      <c r="X303" s="2"/>
    </row>
    <row r="304" spans="24:24" x14ac:dyDescent="0.2">
      <c r="X304" s="2"/>
    </row>
    <row r="305" spans="24:24" x14ac:dyDescent="0.2">
      <c r="X305" s="2"/>
    </row>
    <row r="306" spans="24:24" x14ac:dyDescent="0.2">
      <c r="X306" s="2"/>
    </row>
    <row r="307" spans="24:24" x14ac:dyDescent="0.2">
      <c r="X307" s="2"/>
    </row>
    <row r="308" spans="24:24" x14ac:dyDescent="0.2">
      <c r="X308" s="2"/>
    </row>
    <row r="309" spans="24:24" x14ac:dyDescent="0.2">
      <c r="X309" s="2"/>
    </row>
    <row r="310" spans="24:24" x14ac:dyDescent="0.2">
      <c r="X310" s="2"/>
    </row>
    <row r="311" spans="24:24" x14ac:dyDescent="0.2">
      <c r="X311" s="2"/>
    </row>
    <row r="312" spans="24:24" x14ac:dyDescent="0.2">
      <c r="X312" s="2"/>
    </row>
    <row r="313" spans="24:24" x14ac:dyDescent="0.2">
      <c r="X313" s="2"/>
    </row>
    <row r="314" spans="24:24" x14ac:dyDescent="0.2">
      <c r="X314" s="2"/>
    </row>
    <row r="315" spans="24:24" x14ac:dyDescent="0.2">
      <c r="X315" s="2"/>
    </row>
    <row r="316" spans="24:24" x14ac:dyDescent="0.2">
      <c r="X316" s="2"/>
    </row>
    <row r="317" spans="24:24" x14ac:dyDescent="0.2">
      <c r="X317" s="2"/>
    </row>
    <row r="318" spans="24:24" x14ac:dyDescent="0.2">
      <c r="X318" s="2"/>
    </row>
    <row r="319" spans="24:24" x14ac:dyDescent="0.2">
      <c r="X319" s="2"/>
    </row>
    <row r="320" spans="24:24" x14ac:dyDescent="0.2">
      <c r="X320" s="2"/>
    </row>
    <row r="321" spans="24:24" x14ac:dyDescent="0.2">
      <c r="X321" s="2"/>
    </row>
    <row r="322" spans="24:24" x14ac:dyDescent="0.2">
      <c r="X322" s="2"/>
    </row>
    <row r="323" spans="24:24" x14ac:dyDescent="0.2">
      <c r="X323" s="2"/>
    </row>
    <row r="324" spans="24:24" x14ac:dyDescent="0.2">
      <c r="X324" s="2"/>
    </row>
    <row r="325" spans="24:24" x14ac:dyDescent="0.2">
      <c r="X325" s="2"/>
    </row>
    <row r="326" spans="24:24" x14ac:dyDescent="0.2">
      <c r="X326" s="2"/>
    </row>
    <row r="327" spans="24:24" x14ac:dyDescent="0.2">
      <c r="X327" s="2"/>
    </row>
    <row r="328" spans="24:24" x14ac:dyDescent="0.2">
      <c r="X328" s="2"/>
    </row>
    <row r="329" spans="24:24" x14ac:dyDescent="0.2">
      <c r="X329" s="2"/>
    </row>
    <row r="330" spans="24:24" x14ac:dyDescent="0.2">
      <c r="X330" s="2"/>
    </row>
    <row r="331" spans="24:24" x14ac:dyDescent="0.2">
      <c r="X331" s="2"/>
    </row>
    <row r="332" spans="24:24" x14ac:dyDescent="0.2">
      <c r="X332" s="2"/>
    </row>
    <row r="333" spans="24:24" x14ac:dyDescent="0.2">
      <c r="X333" s="2"/>
    </row>
    <row r="334" spans="24:24" x14ac:dyDescent="0.2">
      <c r="X334" s="2"/>
    </row>
    <row r="335" spans="24:24" x14ac:dyDescent="0.2">
      <c r="X335" s="2"/>
    </row>
    <row r="336" spans="24:24" x14ac:dyDescent="0.2">
      <c r="X336" s="2"/>
    </row>
    <row r="337" spans="24:24" x14ac:dyDescent="0.2">
      <c r="X337" s="2"/>
    </row>
    <row r="338" spans="24:24" x14ac:dyDescent="0.2">
      <c r="X338" s="2"/>
    </row>
    <row r="339" spans="24:24" x14ac:dyDescent="0.2">
      <c r="X339" s="2"/>
    </row>
  </sheetData>
  <mergeCells count="2">
    <mergeCell ref="A2:H2"/>
    <mergeCell ref="A25:H25"/>
  </mergeCells>
  <pageMargins left="0.7" right="0.7" top="0.75" bottom="0.75" header="0.3" footer="0.3"/>
  <pageSetup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H65529"/>
  <sheetViews>
    <sheetView zoomScaleNormal="100" workbookViewId="0">
      <selection activeCell="AC27" sqref="AC27"/>
    </sheetView>
  </sheetViews>
  <sheetFormatPr defaultRowHeight="12.75" x14ac:dyDescent="0.2"/>
  <cols>
    <col min="4" max="4" width="19.42578125" customWidth="1"/>
    <col min="5" max="5" width="9.140625" hidden="1" customWidth="1"/>
    <col min="6" max="12" width="9.28515625" hidden="1" customWidth="1"/>
    <col min="13" max="15" width="9.28515625" style="14" hidden="1" customWidth="1"/>
    <col min="16" max="19" width="14.7109375" style="14" hidden="1" customWidth="1"/>
    <col min="20" max="20" width="8.85546875" style="14" hidden="1" customWidth="1"/>
    <col min="21" max="21" width="12.5703125" style="14" hidden="1" customWidth="1"/>
    <col min="22" max="22" width="14.7109375" style="14" hidden="1" customWidth="1"/>
    <col min="23" max="23" width="9.140625" hidden="1" customWidth="1"/>
    <col min="24" max="24" width="12.85546875" style="793" hidden="1" customWidth="1"/>
    <col min="25" max="25" width="14.7109375" style="793" customWidth="1"/>
    <col min="26" max="26" width="12.85546875" style="793" customWidth="1"/>
    <col min="27" max="29" width="14.7109375" style="793" customWidth="1"/>
    <col min="30" max="30" width="35" customWidth="1"/>
  </cols>
  <sheetData>
    <row r="1" spans="1:34" ht="18" x14ac:dyDescent="0.25">
      <c r="A1" s="783" t="s">
        <v>26</v>
      </c>
      <c r="B1" s="37"/>
      <c r="C1" s="282"/>
      <c r="D1" s="282"/>
      <c r="E1" s="282"/>
      <c r="F1" s="271">
        <v>2012</v>
      </c>
      <c r="G1" s="740">
        <v>2012</v>
      </c>
      <c r="H1" s="271">
        <v>2013</v>
      </c>
      <c r="I1" s="740">
        <v>2013</v>
      </c>
      <c r="J1" s="271">
        <v>2014</v>
      </c>
      <c r="K1" s="740">
        <v>2014</v>
      </c>
      <c r="L1" s="271">
        <v>2015</v>
      </c>
      <c r="M1" s="740">
        <v>2015</v>
      </c>
      <c r="N1" s="271">
        <v>2016</v>
      </c>
      <c r="O1" s="740">
        <v>2016</v>
      </c>
      <c r="P1" s="271">
        <v>2017</v>
      </c>
      <c r="Q1" s="740">
        <v>2017</v>
      </c>
      <c r="R1" s="271">
        <v>2018</v>
      </c>
      <c r="S1" s="740">
        <v>2018</v>
      </c>
      <c r="T1" s="271">
        <v>2019</v>
      </c>
      <c r="U1" s="740">
        <v>2019</v>
      </c>
      <c r="V1" s="271">
        <v>2019</v>
      </c>
      <c r="W1" s="1338">
        <v>2019</v>
      </c>
      <c r="X1" s="810"/>
      <c r="Y1" s="786"/>
      <c r="Z1" s="786"/>
      <c r="AA1" s="794"/>
      <c r="AB1" s="1380"/>
      <c r="AC1" s="1380"/>
      <c r="AD1" s="741"/>
      <c r="AE1" s="14"/>
      <c r="AF1" s="742"/>
    </row>
    <row r="2" spans="1:34" ht="18" x14ac:dyDescent="0.25">
      <c r="A2" s="783"/>
      <c r="B2" s="37"/>
      <c r="C2" s="282"/>
      <c r="D2" s="282"/>
      <c r="E2" s="282"/>
      <c r="F2" s="271"/>
      <c r="G2" s="740"/>
      <c r="H2" s="271"/>
      <c r="I2" s="740"/>
      <c r="J2" s="271"/>
      <c r="K2" s="740"/>
      <c r="L2" s="271"/>
      <c r="M2" s="740"/>
      <c r="N2" s="271"/>
      <c r="O2" s="740"/>
      <c r="P2" s="271"/>
      <c r="Q2" s="740"/>
      <c r="R2" s="271"/>
      <c r="S2" s="740"/>
      <c r="T2" s="271"/>
      <c r="U2" s="740"/>
      <c r="V2" s="271"/>
      <c r="W2" s="1339"/>
      <c r="X2" s="810">
        <v>2020</v>
      </c>
      <c r="Y2" s="786">
        <v>2020</v>
      </c>
      <c r="Z2" s="786">
        <v>2020</v>
      </c>
      <c r="AA2" s="794">
        <v>2021</v>
      </c>
      <c r="AB2" s="794">
        <v>2021</v>
      </c>
      <c r="AC2" s="786">
        <v>2022</v>
      </c>
      <c r="AD2" s="741"/>
      <c r="AE2" s="14"/>
      <c r="AF2" s="742"/>
    </row>
    <row r="3" spans="1:34" ht="15.75" x14ac:dyDescent="0.25">
      <c r="B3" s="283"/>
      <c r="D3" s="282"/>
      <c r="E3" s="282"/>
      <c r="F3" s="743" t="s">
        <v>274</v>
      </c>
      <c r="G3" s="744" t="s">
        <v>368</v>
      </c>
      <c r="H3" s="743" t="s">
        <v>274</v>
      </c>
      <c r="I3" s="744" t="s">
        <v>368</v>
      </c>
      <c r="J3" s="743" t="s">
        <v>274</v>
      </c>
      <c r="K3" s="744" t="s">
        <v>368</v>
      </c>
      <c r="L3" s="743" t="s">
        <v>274</v>
      </c>
      <c r="M3" s="744" t="s">
        <v>368</v>
      </c>
      <c r="N3" s="743" t="s">
        <v>274</v>
      </c>
      <c r="O3" s="744" t="s">
        <v>508</v>
      </c>
      <c r="P3" s="743" t="s">
        <v>274</v>
      </c>
      <c r="Q3" s="744" t="s">
        <v>368</v>
      </c>
      <c r="R3" s="743" t="s">
        <v>274</v>
      </c>
      <c r="S3" s="744" t="s">
        <v>368</v>
      </c>
      <c r="T3" s="164" t="s">
        <v>274</v>
      </c>
      <c r="U3" s="1326" t="s">
        <v>509</v>
      </c>
      <c r="V3" s="164" t="s">
        <v>510</v>
      </c>
      <c r="W3" s="1340" t="s">
        <v>372</v>
      </c>
      <c r="X3" s="810" t="s">
        <v>510</v>
      </c>
      <c r="Y3" s="786" t="s">
        <v>274</v>
      </c>
      <c r="Z3" s="786" t="s">
        <v>372</v>
      </c>
      <c r="AA3" s="794" t="s">
        <v>274</v>
      </c>
      <c r="AB3" s="1380" t="s">
        <v>372</v>
      </c>
      <c r="AC3" s="786"/>
      <c r="AD3" s="165"/>
    </row>
    <row r="4" spans="1:34" s="14" customFormat="1" x14ac:dyDescent="0.2">
      <c r="B4" s="285"/>
      <c r="C4" s="285" t="s">
        <v>511</v>
      </c>
      <c r="D4" s="282"/>
      <c r="E4" s="282"/>
      <c r="F4" s="745">
        <v>16454</v>
      </c>
      <c r="G4" s="745">
        <v>19937.71</v>
      </c>
      <c r="H4" s="745">
        <v>19874</v>
      </c>
      <c r="I4" s="745">
        <v>14817.01</v>
      </c>
      <c r="J4" s="745">
        <v>21002</v>
      </c>
      <c r="K4" s="745">
        <v>16124.7</v>
      </c>
      <c r="L4" s="745">
        <v>18447.04</v>
      </c>
      <c r="M4" s="745">
        <v>12127.78</v>
      </c>
      <c r="N4" s="745">
        <v>12000</v>
      </c>
      <c r="O4" s="745">
        <v>13548.68</v>
      </c>
      <c r="P4" s="745">
        <v>12000</v>
      </c>
      <c r="Q4" s="745">
        <v>6826.5</v>
      </c>
      <c r="R4" s="745">
        <v>7500</v>
      </c>
      <c r="S4" s="745">
        <v>6609.41</v>
      </c>
      <c r="T4" s="1327">
        <v>6000</v>
      </c>
      <c r="U4" s="1327">
        <v>4450</v>
      </c>
      <c r="V4" s="1327">
        <f>(U4/7)*12</f>
        <v>7628.5714285714275</v>
      </c>
      <c r="W4" s="1865">
        <v>7530</v>
      </c>
      <c r="X4" s="1866">
        <f>7808.95+200</f>
        <v>8008.95</v>
      </c>
      <c r="Y4" s="1327">
        <f>7500+802</f>
        <v>8302</v>
      </c>
      <c r="Z4" s="1867">
        <v>7809</v>
      </c>
      <c r="AA4" s="1868">
        <v>8000</v>
      </c>
      <c r="AB4" s="1869">
        <f>4809.4</f>
        <v>4809.3999999999996</v>
      </c>
      <c r="AC4" s="1327">
        <f>(AB4-9)</f>
        <v>4800.3999999999996</v>
      </c>
      <c r="AD4" s="1870" t="s">
        <v>701</v>
      </c>
    </row>
    <row r="5" spans="1:34" ht="38.25" x14ac:dyDescent="0.2">
      <c r="B5" s="285"/>
      <c r="C5" s="285" t="s">
        <v>512</v>
      </c>
      <c r="D5" s="282"/>
      <c r="E5" s="282"/>
      <c r="F5" s="747">
        <v>0</v>
      </c>
      <c r="G5" s="748">
        <v>0</v>
      </c>
      <c r="H5" s="747">
        <v>0</v>
      </c>
      <c r="I5" s="748">
        <v>0</v>
      </c>
      <c r="J5" s="747">
        <v>0</v>
      </c>
      <c r="K5" s="748">
        <v>41090.480000000003</v>
      </c>
      <c r="L5" s="747">
        <v>200000</v>
      </c>
      <c r="M5" s="748">
        <v>189597.28</v>
      </c>
      <c r="N5" s="747" t="e">
        <f>M5+#REF!</f>
        <v>#REF!</v>
      </c>
      <c r="O5" s="748">
        <v>195217.69</v>
      </c>
      <c r="P5" s="747">
        <v>193931</v>
      </c>
      <c r="Q5" s="748">
        <v>202749.3</v>
      </c>
      <c r="R5" s="747">
        <v>210000</v>
      </c>
      <c r="S5" s="748">
        <v>203503.05</v>
      </c>
      <c r="T5" s="1327">
        <v>210000</v>
      </c>
      <c r="U5" s="1328">
        <v>124463.6</v>
      </c>
      <c r="V5" s="1327">
        <f>(U5/7)*12</f>
        <v>213366.17142857143</v>
      </c>
      <c r="W5" s="1341">
        <v>215118</v>
      </c>
      <c r="X5" s="1378">
        <f>253229</f>
        <v>253229</v>
      </c>
      <c r="Y5" s="787">
        <f>238633</f>
        <v>238633</v>
      </c>
      <c r="Z5" s="787">
        <v>237515</v>
      </c>
      <c r="AA5" s="795">
        <f>(X5*2%)+X5-5471.95</f>
        <v>252821.62999999998</v>
      </c>
      <c r="AB5" s="1382">
        <f>266842.59</f>
        <v>266842.59000000003</v>
      </c>
      <c r="AC5" s="787">
        <f>(AB5*5%)+AB5</f>
        <v>280184.71950000001</v>
      </c>
      <c r="AD5" s="1281" t="s">
        <v>871</v>
      </c>
    </row>
    <row r="6" spans="1:34" x14ac:dyDescent="0.2">
      <c r="B6" s="285"/>
      <c r="C6" s="285"/>
      <c r="D6" s="760" t="s">
        <v>513</v>
      </c>
      <c r="E6" s="276"/>
      <c r="F6" s="801">
        <f t="shared" ref="F6:S6" si="0">SUM(F4:F5)</f>
        <v>16454</v>
      </c>
      <c r="G6" s="802">
        <f t="shared" si="0"/>
        <v>19937.71</v>
      </c>
      <c r="H6" s="801">
        <f t="shared" si="0"/>
        <v>19874</v>
      </c>
      <c r="I6" s="802">
        <f t="shared" si="0"/>
        <v>14817.01</v>
      </c>
      <c r="J6" s="801">
        <f t="shared" si="0"/>
        <v>21002</v>
      </c>
      <c r="K6" s="802">
        <f t="shared" si="0"/>
        <v>57215.180000000008</v>
      </c>
      <c r="L6" s="286">
        <f t="shared" si="0"/>
        <v>218447.04</v>
      </c>
      <c r="M6" s="761">
        <f t="shared" si="0"/>
        <v>201725.06</v>
      </c>
      <c r="N6" s="286" t="e">
        <f t="shared" si="0"/>
        <v>#REF!</v>
      </c>
      <c r="O6" s="761">
        <f t="shared" si="0"/>
        <v>208766.37</v>
      </c>
      <c r="P6" s="286">
        <f t="shared" si="0"/>
        <v>205931</v>
      </c>
      <c r="Q6" s="761">
        <f t="shared" si="0"/>
        <v>209575.8</v>
      </c>
      <c r="R6" s="286">
        <f t="shared" si="0"/>
        <v>217500</v>
      </c>
      <c r="S6" s="761">
        <f t="shared" si="0"/>
        <v>210112.46</v>
      </c>
      <c r="T6" s="733">
        <f>SUM(T4:T5)</f>
        <v>216000</v>
      </c>
      <c r="U6" s="1329">
        <f t="shared" ref="U6:AC6" si="1">SUM(U4:U5)</f>
        <v>128913.60000000001</v>
      </c>
      <c r="V6" s="733">
        <f t="shared" si="1"/>
        <v>220994.74285714285</v>
      </c>
      <c r="W6" s="1342">
        <f>SUM(W4:W5)</f>
        <v>222648</v>
      </c>
      <c r="X6" s="812">
        <f t="shared" si="1"/>
        <v>261237.95</v>
      </c>
      <c r="Y6" s="310">
        <f t="shared" si="1"/>
        <v>246935</v>
      </c>
      <c r="Z6" s="310">
        <f>SUM(Z4:Z5)</f>
        <v>245324</v>
      </c>
      <c r="AA6" s="797">
        <f t="shared" si="1"/>
        <v>260821.62999999998</v>
      </c>
      <c r="AB6" s="797">
        <f t="shared" si="1"/>
        <v>271651.99000000005</v>
      </c>
      <c r="AC6" s="797">
        <f t="shared" si="1"/>
        <v>284985.11950000003</v>
      </c>
      <c r="AD6" s="750"/>
    </row>
    <row r="7" spans="1:34" x14ac:dyDescent="0.2">
      <c r="B7" s="285"/>
      <c r="C7" s="285"/>
      <c r="D7" s="285"/>
      <c r="E7" s="282"/>
      <c r="F7" s="282"/>
      <c r="G7" s="751"/>
      <c r="H7" s="287"/>
      <c r="I7" s="686"/>
      <c r="J7" s="291"/>
      <c r="K7" s="749"/>
      <c r="L7" s="287"/>
      <c r="M7" s="749"/>
      <c r="N7" s="347"/>
      <c r="O7" s="752"/>
      <c r="P7" s="347"/>
      <c r="Q7" s="752"/>
      <c r="R7" s="347"/>
      <c r="S7" s="752"/>
      <c r="T7" s="1330"/>
      <c r="U7" s="1331"/>
      <c r="V7" s="1330"/>
      <c r="W7" s="1343"/>
      <c r="X7" s="813"/>
      <c r="Y7" s="788"/>
      <c r="Z7" s="788"/>
      <c r="AA7" s="796"/>
      <c r="AB7" s="1381"/>
      <c r="AC7" s="788"/>
      <c r="AD7" s="750"/>
    </row>
    <row r="8" spans="1:34" x14ac:dyDescent="0.2">
      <c r="B8" s="285"/>
      <c r="C8" s="282" t="s">
        <v>578</v>
      </c>
      <c r="E8" s="282"/>
      <c r="F8" s="745">
        <v>91401</v>
      </c>
      <c r="G8" s="746">
        <v>108813.41</v>
      </c>
      <c r="H8" s="745">
        <v>107550</v>
      </c>
      <c r="I8" s="746">
        <v>106618.15</v>
      </c>
      <c r="J8" s="745">
        <v>113638</v>
      </c>
      <c r="K8" s="746">
        <v>119194.85</v>
      </c>
      <c r="L8" s="745">
        <v>86966.33</v>
      </c>
      <c r="M8" s="746">
        <v>47714.25</v>
      </c>
      <c r="N8" s="745">
        <f>M8*0.568294</f>
        <v>27115.721989499998</v>
      </c>
      <c r="O8" s="746">
        <v>6877.09</v>
      </c>
      <c r="P8" s="745">
        <v>3890</v>
      </c>
      <c r="Q8" s="746">
        <v>4456.5</v>
      </c>
      <c r="R8" s="745">
        <v>3400</v>
      </c>
      <c r="S8" s="746">
        <v>4120.87</v>
      </c>
      <c r="T8" s="1327">
        <v>5042.55</v>
      </c>
      <c r="U8" s="1328">
        <v>1914.15</v>
      </c>
      <c r="V8" s="1327">
        <f>(U8/7)*12</f>
        <v>3281.3999999999996</v>
      </c>
      <c r="W8" s="1341">
        <v>3039</v>
      </c>
      <c r="X8" s="811">
        <f>(Z8/10)*12</f>
        <v>4102.7999999999993</v>
      </c>
      <c r="Y8" s="787">
        <v>3300</v>
      </c>
      <c r="Z8" s="787">
        <v>3419</v>
      </c>
      <c r="AA8" s="795">
        <v>3400</v>
      </c>
      <c r="AB8" s="1382">
        <f>1356.6</f>
        <v>1356.6</v>
      </c>
      <c r="AC8" s="787">
        <f>AC4*0.33</f>
        <v>1584.1320000000001</v>
      </c>
      <c r="AD8" s="750"/>
    </row>
    <row r="9" spans="1:34" x14ac:dyDescent="0.2">
      <c r="B9" s="285"/>
      <c r="C9" s="282" t="s">
        <v>514</v>
      </c>
      <c r="E9" s="282"/>
      <c r="F9" s="747">
        <v>14513</v>
      </c>
      <c r="G9" s="748">
        <v>18463.84</v>
      </c>
      <c r="H9" s="747">
        <v>17158</v>
      </c>
      <c r="I9" s="748">
        <v>18366.16</v>
      </c>
      <c r="J9" s="747">
        <v>18130</v>
      </c>
      <c r="K9" s="748">
        <v>21907.599999999999</v>
      </c>
      <c r="L9" s="747">
        <v>13034.15</v>
      </c>
      <c r="M9" s="748">
        <v>8386.36</v>
      </c>
      <c r="N9" s="747">
        <f>11446*0.5</f>
        <v>5723</v>
      </c>
      <c r="O9" s="748">
        <v>1036.45</v>
      </c>
      <c r="P9" s="747">
        <v>660</v>
      </c>
      <c r="Q9" s="748">
        <v>409.18</v>
      </c>
      <c r="R9" s="747">
        <v>500</v>
      </c>
      <c r="S9" s="748">
        <v>747.07</v>
      </c>
      <c r="T9" s="1327">
        <v>1100</v>
      </c>
      <c r="U9" s="1328">
        <v>181.82</v>
      </c>
      <c r="V9" s="1327">
        <f>(U9/7)*12</f>
        <v>311.69142857142856</v>
      </c>
      <c r="W9" s="1343">
        <v>227</v>
      </c>
      <c r="X9" s="811">
        <f>(Z9/10)*12</f>
        <v>805.19999999999993</v>
      </c>
      <c r="Y9" s="787">
        <v>1100</v>
      </c>
      <c r="Z9" s="787">
        <v>671</v>
      </c>
      <c r="AA9" s="795">
        <v>710</v>
      </c>
      <c r="AB9" s="1382">
        <f>194.29</f>
        <v>194.29</v>
      </c>
      <c r="AC9" s="787">
        <f>AB9-4</f>
        <v>190.29</v>
      </c>
      <c r="AD9" s="750" t="s">
        <v>872</v>
      </c>
    </row>
    <row r="10" spans="1:34" ht="15.75" x14ac:dyDescent="0.25">
      <c r="B10" s="285"/>
      <c r="C10" s="34"/>
      <c r="D10" s="760" t="s">
        <v>515</v>
      </c>
      <c r="E10" s="276"/>
      <c r="F10" s="801">
        <f t="shared" ref="F10:S10" si="2">SUM(F8:F9)</f>
        <v>105914</v>
      </c>
      <c r="G10" s="802">
        <f t="shared" si="2"/>
        <v>127277.25</v>
      </c>
      <c r="H10" s="801">
        <f t="shared" si="2"/>
        <v>124708</v>
      </c>
      <c r="I10" s="802">
        <f t="shared" si="2"/>
        <v>124984.31</v>
      </c>
      <c r="J10" s="801">
        <f t="shared" si="2"/>
        <v>131768</v>
      </c>
      <c r="K10" s="802">
        <f t="shared" si="2"/>
        <v>141102.45000000001</v>
      </c>
      <c r="L10" s="286">
        <f t="shared" si="2"/>
        <v>100000.48</v>
      </c>
      <c r="M10" s="802">
        <f t="shared" si="2"/>
        <v>56100.61</v>
      </c>
      <c r="N10" s="801">
        <f t="shared" si="2"/>
        <v>32838.721989500002</v>
      </c>
      <c r="O10" s="802">
        <f>SUM(O8:O9)</f>
        <v>7913.54</v>
      </c>
      <c r="P10" s="801">
        <f>SUM(P8:P9)</f>
        <v>4550</v>
      </c>
      <c r="Q10" s="802">
        <f>SUM(Q8:Q9)</f>
        <v>4865.68</v>
      </c>
      <c r="R10" s="801">
        <f>SUM(R8:R9)</f>
        <v>3900</v>
      </c>
      <c r="S10" s="802">
        <f t="shared" si="2"/>
        <v>4867.9399999999996</v>
      </c>
      <c r="T10" s="1332">
        <f t="shared" ref="T10:AC10" si="3">SUM(T8:T9)</f>
        <v>6142.55</v>
      </c>
      <c r="U10" s="1333">
        <f t="shared" si="3"/>
        <v>2095.9700000000003</v>
      </c>
      <c r="V10" s="1332">
        <f t="shared" si="3"/>
        <v>3593.091428571428</v>
      </c>
      <c r="W10" s="1342">
        <f t="shared" si="3"/>
        <v>3266</v>
      </c>
      <c r="X10" s="814">
        <f t="shared" si="3"/>
        <v>4907.9999999999991</v>
      </c>
      <c r="Y10" s="803">
        <f t="shared" si="3"/>
        <v>4400</v>
      </c>
      <c r="Z10" s="803">
        <f t="shared" si="3"/>
        <v>4090</v>
      </c>
      <c r="AA10" s="804">
        <f t="shared" si="3"/>
        <v>4110</v>
      </c>
      <c r="AB10" s="804">
        <f t="shared" si="3"/>
        <v>1550.8899999999999</v>
      </c>
      <c r="AC10" s="804">
        <f t="shared" si="3"/>
        <v>1774.422</v>
      </c>
      <c r="AD10" s="750"/>
    </row>
    <row r="11" spans="1:34" ht="13.5" thickBot="1" x14ac:dyDescent="0.25">
      <c r="B11" s="285"/>
      <c r="D11" s="285"/>
      <c r="E11" s="282"/>
      <c r="F11" s="753"/>
      <c r="G11" s="754"/>
      <c r="H11" s="755"/>
      <c r="I11" s="756"/>
      <c r="J11" s="757"/>
      <c r="K11" s="758"/>
      <c r="L11" s="755"/>
      <c r="M11" s="758"/>
      <c r="N11" s="757"/>
      <c r="O11" s="758"/>
      <c r="P11" s="757"/>
      <c r="Q11" s="758"/>
      <c r="R11" s="757"/>
      <c r="S11" s="758"/>
      <c r="T11" s="1330"/>
      <c r="U11" s="1331"/>
      <c r="V11" s="1330"/>
      <c r="W11" s="1343"/>
      <c r="X11" s="813"/>
      <c r="Y11" s="1856"/>
      <c r="Z11" s="1856"/>
      <c r="AA11" s="1854"/>
      <c r="AB11" s="1855"/>
      <c r="AC11" s="1856"/>
      <c r="AD11" s="750"/>
    </row>
    <row r="12" spans="1:34" ht="15" x14ac:dyDescent="0.25">
      <c r="B12" s="285"/>
      <c r="C12" s="285"/>
      <c r="D12" s="285"/>
      <c r="E12" s="282"/>
      <c r="F12" s="282"/>
      <c r="G12" s="751"/>
      <c r="H12" s="287"/>
      <c r="I12" s="686"/>
      <c r="J12" s="291"/>
      <c r="K12" s="749"/>
      <c r="L12" s="287"/>
      <c r="M12" s="749"/>
      <c r="N12" s="347"/>
      <c r="O12" s="752"/>
      <c r="P12" s="347"/>
      <c r="Q12" s="752"/>
      <c r="R12" s="347"/>
      <c r="S12" s="752"/>
      <c r="T12" s="1330"/>
      <c r="U12" s="1331"/>
      <c r="V12" s="1330"/>
      <c r="W12" s="1343"/>
      <c r="X12" s="1871"/>
      <c r="Y12" s="1860"/>
      <c r="Z12" s="1873"/>
      <c r="AA12" s="1860"/>
      <c r="AB12" s="1861"/>
      <c r="AC12" s="1862"/>
      <c r="AD12" s="762"/>
      <c r="AE12" s="759"/>
      <c r="AF12" s="759"/>
      <c r="AG12" s="759"/>
      <c r="AH12" s="759"/>
    </row>
    <row r="13" spans="1:34" x14ac:dyDescent="0.2">
      <c r="B13" s="285"/>
      <c r="C13" s="285" t="s">
        <v>516</v>
      </c>
      <c r="D13" s="285"/>
      <c r="E13" s="282"/>
      <c r="F13" s="745">
        <v>27500</v>
      </c>
      <c r="G13" s="746">
        <v>28675.27</v>
      </c>
      <c r="H13" s="745">
        <v>2200</v>
      </c>
      <c r="I13" s="746">
        <v>2000</v>
      </c>
      <c r="J13" s="745">
        <v>39250</v>
      </c>
      <c r="K13" s="746">
        <v>23837.89</v>
      </c>
      <c r="L13" s="745">
        <v>0</v>
      </c>
      <c r="M13" s="746">
        <v>2100</v>
      </c>
      <c r="N13" s="745">
        <f>100*250</f>
        <v>25000</v>
      </c>
      <c r="O13" s="746">
        <v>22950</v>
      </c>
      <c r="P13" s="745">
        <v>500</v>
      </c>
      <c r="Q13" s="746">
        <v>1400</v>
      </c>
      <c r="R13" s="745">
        <v>28750</v>
      </c>
      <c r="S13" s="746">
        <v>29608.74</v>
      </c>
      <c r="T13" s="1327">
        <v>1400</v>
      </c>
      <c r="U13" s="1328">
        <v>1395.62</v>
      </c>
      <c r="V13" s="1327">
        <f>(U13/7)*12</f>
        <v>2392.4914285714285</v>
      </c>
      <c r="W13" s="1343">
        <f>13*130</f>
        <v>1690</v>
      </c>
      <c r="X13" s="1872">
        <f>(Z13/10)*12</f>
        <v>25584</v>
      </c>
      <c r="Y13" s="1863">
        <f>175*130</f>
        <v>22750</v>
      </c>
      <c r="Z13" s="1874">
        <f>21320</f>
        <v>21320</v>
      </c>
      <c r="AA13" s="1863">
        <f>13*130</f>
        <v>1690</v>
      </c>
      <c r="AB13" s="1383">
        <f>21449.99</f>
        <v>21449.99</v>
      </c>
      <c r="AC13" s="1864">
        <f>130*155</f>
        <v>20150</v>
      </c>
      <c r="AD13" s="750" t="s">
        <v>865</v>
      </c>
    </row>
    <row r="14" spans="1:34" x14ac:dyDescent="0.2">
      <c r="B14" s="282"/>
      <c r="C14" s="285" t="s">
        <v>517</v>
      </c>
      <c r="D14" s="282"/>
      <c r="F14" s="747">
        <v>16500</v>
      </c>
      <c r="G14" s="748">
        <v>17250</v>
      </c>
      <c r="H14" s="747">
        <v>1320</v>
      </c>
      <c r="I14" s="748">
        <v>1020</v>
      </c>
      <c r="J14" s="747">
        <v>14101</v>
      </c>
      <c r="K14" s="748">
        <v>16275</v>
      </c>
      <c r="L14" s="747">
        <v>0</v>
      </c>
      <c r="M14" s="748">
        <v>1320</v>
      </c>
      <c r="N14" s="747">
        <f>250*60</f>
        <v>15000</v>
      </c>
      <c r="O14" s="763">
        <v>13965</v>
      </c>
      <c r="P14" s="747">
        <v>300</v>
      </c>
      <c r="Q14" s="763">
        <v>1020</v>
      </c>
      <c r="R14" s="764">
        <v>17250</v>
      </c>
      <c r="S14" s="763">
        <v>15675</v>
      </c>
      <c r="T14" s="1327">
        <v>17250</v>
      </c>
      <c r="U14" s="1328">
        <v>825</v>
      </c>
      <c r="V14" s="1327">
        <f>U14+(2*75*12)</f>
        <v>2625</v>
      </c>
      <c r="W14" s="1343">
        <f>13*80</f>
        <v>1040</v>
      </c>
      <c r="X14" s="1872">
        <f>(Z14/10)*12</f>
        <v>15744</v>
      </c>
      <c r="Y14" s="1863">
        <f>220*80</f>
        <v>17600</v>
      </c>
      <c r="Z14" s="1874">
        <f>13120</f>
        <v>13120</v>
      </c>
      <c r="AA14" s="1863">
        <f>13*80</f>
        <v>1040</v>
      </c>
      <c r="AB14" s="1383">
        <f>13200</f>
        <v>13200</v>
      </c>
      <c r="AC14" s="1864">
        <f>155*80</f>
        <v>12400</v>
      </c>
      <c r="AD14" s="750" t="s">
        <v>868</v>
      </c>
    </row>
    <row r="15" spans="1:34" ht="13.5" thickBot="1" x14ac:dyDescent="0.25">
      <c r="B15" s="282"/>
      <c r="C15" s="285" t="s">
        <v>870</v>
      </c>
      <c r="D15" s="282"/>
      <c r="F15" s="747"/>
      <c r="G15" s="748"/>
      <c r="H15" s="764"/>
      <c r="I15" s="763"/>
      <c r="J15" s="764"/>
      <c r="K15" s="763"/>
      <c r="L15" s="764"/>
      <c r="M15" s="763"/>
      <c r="N15" s="747"/>
      <c r="O15" s="763"/>
      <c r="P15" s="747"/>
      <c r="Q15" s="763"/>
      <c r="R15" s="764"/>
      <c r="S15" s="763"/>
      <c r="T15" s="1327"/>
      <c r="U15" s="1328"/>
      <c r="V15" s="1327"/>
      <c r="W15" s="1344">
        <f>W13-W14</f>
        <v>650</v>
      </c>
      <c r="X15" s="1872"/>
      <c r="Y15" s="1875">
        <f>SUM(Y13:Y14)</f>
        <v>40350</v>
      </c>
      <c r="Z15" s="1875">
        <f>SUM(Z13:Z14)</f>
        <v>34440</v>
      </c>
      <c r="AA15" s="1875">
        <f>AA13-AA14</f>
        <v>650</v>
      </c>
      <c r="AB15" s="1875">
        <f t="shared" ref="AB15:AC15" si="4">AB13-AB14</f>
        <v>8249.9900000000016</v>
      </c>
      <c r="AC15" s="1876">
        <f t="shared" si="4"/>
        <v>7750</v>
      </c>
      <c r="AD15" s="750"/>
    </row>
    <row r="16" spans="1:34" ht="10.5" customHeight="1" x14ac:dyDescent="0.2">
      <c r="B16" s="285"/>
      <c r="C16" s="285"/>
      <c r="D16" s="285"/>
      <c r="E16" s="282"/>
      <c r="F16" s="765"/>
      <c r="G16" s="766"/>
      <c r="H16" s="287"/>
      <c r="I16" s="686"/>
      <c r="J16" s="291"/>
      <c r="K16" s="749"/>
      <c r="L16" s="287"/>
      <c r="M16" s="749"/>
      <c r="N16" s="767"/>
      <c r="O16" s="768"/>
      <c r="P16" s="767"/>
      <c r="Q16" s="768"/>
      <c r="R16" s="767"/>
      <c r="S16" s="768"/>
      <c r="T16" s="1330"/>
      <c r="U16" s="1331"/>
      <c r="V16" s="1330"/>
      <c r="W16" s="1343"/>
      <c r="X16" s="813"/>
      <c r="Y16" s="1859"/>
      <c r="Z16" s="1859"/>
      <c r="AA16" s="1857"/>
      <c r="AB16" s="1858"/>
      <c r="AC16" s="1859"/>
      <c r="AD16" s="750"/>
    </row>
    <row r="17" spans="1:34" ht="15" hidden="1" x14ac:dyDescent="0.25">
      <c r="B17" s="285"/>
      <c r="C17" s="920" t="s">
        <v>579</v>
      </c>
      <c r="D17" s="920"/>
      <c r="E17" s="921"/>
      <c r="F17" s="282"/>
      <c r="G17" s="751"/>
      <c r="H17" s="287"/>
      <c r="I17" s="686"/>
      <c r="J17" s="291"/>
      <c r="K17" s="749"/>
      <c r="L17" s="287"/>
      <c r="M17" s="749"/>
      <c r="N17" s="347"/>
      <c r="O17" s="752"/>
      <c r="P17" s="347"/>
      <c r="Q17" s="752"/>
      <c r="R17" s="347"/>
      <c r="S17" s="752"/>
      <c r="T17" s="1330"/>
      <c r="U17" s="1331"/>
      <c r="V17" s="1330"/>
      <c r="W17" s="1343">
        <f>22*10</f>
        <v>220</v>
      </c>
      <c r="X17" s="806"/>
      <c r="Y17" s="806"/>
      <c r="Z17" s="806"/>
      <c r="AA17" s="807"/>
      <c r="AB17" s="1384"/>
      <c r="AC17" s="806"/>
      <c r="AD17" s="769"/>
      <c r="AE17" s="759"/>
      <c r="AF17" s="759"/>
      <c r="AG17" s="759"/>
      <c r="AH17" s="759"/>
    </row>
    <row r="18" spans="1:34" hidden="1" x14ac:dyDescent="0.2">
      <c r="B18" s="285"/>
      <c r="C18" s="920" t="s">
        <v>518</v>
      </c>
      <c r="D18" s="809"/>
      <c r="E18" s="921"/>
      <c r="F18" s="764">
        <v>1700</v>
      </c>
      <c r="G18" s="763">
        <v>2155.0100000000002</v>
      </c>
      <c r="H18" s="764">
        <v>2125</v>
      </c>
      <c r="I18" s="763">
        <v>750</v>
      </c>
      <c r="J18" s="764">
        <v>875</v>
      </c>
      <c r="K18" s="763">
        <v>515</v>
      </c>
      <c r="L18" s="764">
        <v>525</v>
      </c>
      <c r="M18" s="763">
        <v>725</v>
      </c>
      <c r="N18" s="347">
        <v>525</v>
      </c>
      <c r="O18" s="752">
        <v>550</v>
      </c>
      <c r="P18" s="347">
        <v>525</v>
      </c>
      <c r="Q18" s="752">
        <v>825</v>
      </c>
      <c r="R18" s="347">
        <v>800</v>
      </c>
      <c r="S18" s="752">
        <v>625</v>
      </c>
      <c r="T18" s="1330">
        <v>800</v>
      </c>
      <c r="U18" s="1331">
        <v>350</v>
      </c>
      <c r="V18" s="1330">
        <f>(U18/7)*12</f>
        <v>600</v>
      </c>
      <c r="W18" s="1343">
        <f>22*25</f>
        <v>550</v>
      </c>
      <c r="X18" s="806">
        <f>(Z18/10)*12</f>
        <v>0</v>
      </c>
      <c r="Y18" s="806"/>
      <c r="Z18" s="806"/>
      <c r="AA18" s="807"/>
      <c r="AB18" s="1384"/>
      <c r="AC18" s="806"/>
      <c r="AD18" s="808" t="s">
        <v>652</v>
      </c>
      <c r="AE18" s="14"/>
      <c r="AF18" s="14"/>
      <c r="AG18" s="14"/>
    </row>
    <row r="19" spans="1:34" hidden="1" x14ac:dyDescent="0.2">
      <c r="B19" s="285"/>
      <c r="C19" s="920" t="s">
        <v>519</v>
      </c>
      <c r="D19" s="809"/>
      <c r="E19" s="921"/>
      <c r="F19" s="764"/>
      <c r="G19" s="763"/>
      <c r="H19" s="764"/>
      <c r="I19" s="763"/>
      <c r="J19" s="764"/>
      <c r="K19" s="763"/>
      <c r="L19" s="764"/>
      <c r="M19" s="763"/>
      <c r="N19" s="347"/>
      <c r="O19" s="752"/>
      <c r="P19" s="347"/>
      <c r="Q19" s="752">
        <v>175</v>
      </c>
      <c r="R19" s="347">
        <v>0</v>
      </c>
      <c r="S19" s="752">
        <v>525</v>
      </c>
      <c r="T19" s="1330"/>
      <c r="U19" s="1331">
        <v>0</v>
      </c>
      <c r="V19" s="1330">
        <v>175</v>
      </c>
      <c r="W19" s="1343">
        <v>75</v>
      </c>
      <c r="X19" s="806"/>
      <c r="Y19" s="806"/>
      <c r="Z19" s="806"/>
      <c r="AA19" s="807"/>
      <c r="AB19" s="1384"/>
      <c r="AC19" s="806"/>
      <c r="AD19" s="808" t="s">
        <v>529</v>
      </c>
      <c r="AE19" s="14"/>
      <c r="AF19" s="14"/>
      <c r="AG19" s="14"/>
    </row>
    <row r="20" spans="1:34" x14ac:dyDescent="0.2">
      <c r="B20" s="285"/>
      <c r="C20" s="285" t="s">
        <v>520</v>
      </c>
      <c r="E20" s="282"/>
      <c r="F20" s="764">
        <v>2700</v>
      </c>
      <c r="G20" s="763">
        <v>2846.77</v>
      </c>
      <c r="H20" s="764">
        <v>2882</v>
      </c>
      <c r="I20" s="763">
        <v>2296.1999999999998</v>
      </c>
      <c r="J20" s="764">
        <v>3046</v>
      </c>
      <c r="K20" s="763">
        <v>1984.97</v>
      </c>
      <c r="L20" s="764">
        <v>2300</v>
      </c>
      <c r="M20" s="749">
        <v>2111.87</v>
      </c>
      <c r="N20" s="347">
        <v>2000</v>
      </c>
      <c r="O20" s="752">
        <v>1973.53</v>
      </c>
      <c r="P20" s="347">
        <v>2000</v>
      </c>
      <c r="Q20" s="752">
        <v>1194.51</v>
      </c>
      <c r="R20" s="347">
        <v>1200</v>
      </c>
      <c r="S20" s="752">
        <v>980.75</v>
      </c>
      <c r="T20" s="1330">
        <v>1200</v>
      </c>
      <c r="U20" s="1331">
        <v>613.42999999999995</v>
      </c>
      <c r="V20" s="1330">
        <f>(U20/7)*12</f>
        <v>1051.5942857142857</v>
      </c>
      <c r="W20" s="1343">
        <v>913</v>
      </c>
      <c r="X20" s="813">
        <f>(Z20/10)*12</f>
        <v>1082.4000000000001</v>
      </c>
      <c r="Y20" s="788">
        <v>1200</v>
      </c>
      <c r="Z20" s="788">
        <v>902</v>
      </c>
      <c r="AA20" s="796">
        <v>1000</v>
      </c>
      <c r="AB20" s="1381">
        <f>566.99</f>
        <v>566.99</v>
      </c>
      <c r="AC20" s="788">
        <f>560</f>
        <v>560</v>
      </c>
      <c r="AD20" s="347"/>
    </row>
    <row r="21" spans="1:34" x14ac:dyDescent="0.2">
      <c r="B21" s="285"/>
      <c r="C21" s="285" t="s">
        <v>521</v>
      </c>
      <c r="E21" s="282"/>
      <c r="F21" s="747">
        <v>9700</v>
      </c>
      <c r="G21" s="748">
        <v>10868.5</v>
      </c>
      <c r="H21" s="747">
        <v>10000</v>
      </c>
      <c r="I21" s="748">
        <v>28214.06</v>
      </c>
      <c r="J21" s="747">
        <v>10000</v>
      </c>
      <c r="K21" s="748">
        <v>21489.74</v>
      </c>
      <c r="L21" s="747">
        <v>15000</v>
      </c>
      <c r="M21" s="748">
        <v>38161.51</v>
      </c>
      <c r="N21" s="757">
        <v>20000</v>
      </c>
      <c r="O21" s="758">
        <v>41452.449999999997</v>
      </c>
      <c r="P21" s="757">
        <v>26000</v>
      </c>
      <c r="Q21" s="758">
        <v>36355.120000000003</v>
      </c>
      <c r="R21" s="757">
        <v>35000</v>
      </c>
      <c r="S21" s="758">
        <v>25080.080000000002</v>
      </c>
      <c r="T21" s="1330">
        <v>30000</v>
      </c>
      <c r="U21" s="1331">
        <v>13180.21</v>
      </c>
      <c r="V21" s="1330">
        <f>(U21/7)*12</f>
        <v>22594.645714285711</v>
      </c>
      <c r="W21" s="1341">
        <v>19945</v>
      </c>
      <c r="X21" s="813">
        <f>(Z21/10)*12</f>
        <v>7627.2000000000007</v>
      </c>
      <c r="Y21" s="788">
        <v>20000</v>
      </c>
      <c r="Z21" s="788">
        <v>6356</v>
      </c>
      <c r="AA21" s="796">
        <v>7000</v>
      </c>
      <c r="AB21" s="1381">
        <f>11615.76</f>
        <v>11615.76</v>
      </c>
      <c r="AC21" s="788">
        <f>AB21*0.5</f>
        <v>5807.88</v>
      </c>
      <c r="AD21" s="347" t="s">
        <v>866</v>
      </c>
    </row>
    <row r="22" spans="1:34" x14ac:dyDescent="0.2">
      <c r="D22" s="660" t="s">
        <v>522</v>
      </c>
      <c r="E22" s="660"/>
      <c r="F22" s="801">
        <f t="shared" ref="F22:S22" si="5">SUM(F18:F21)</f>
        <v>14100</v>
      </c>
      <c r="G22" s="802">
        <f t="shared" si="5"/>
        <v>15870.28</v>
      </c>
      <c r="H22" s="801">
        <f t="shared" si="5"/>
        <v>15007</v>
      </c>
      <c r="I22" s="802">
        <f t="shared" si="5"/>
        <v>31260.260000000002</v>
      </c>
      <c r="J22" s="801">
        <f t="shared" si="5"/>
        <v>13921</v>
      </c>
      <c r="K22" s="802">
        <f t="shared" si="5"/>
        <v>23989.710000000003</v>
      </c>
      <c r="L22" s="801">
        <f t="shared" si="5"/>
        <v>17825</v>
      </c>
      <c r="M22" s="802">
        <f t="shared" si="5"/>
        <v>40998.380000000005</v>
      </c>
      <c r="N22" s="801">
        <f t="shared" si="5"/>
        <v>22525</v>
      </c>
      <c r="O22" s="802">
        <f t="shared" si="5"/>
        <v>43975.979999999996</v>
      </c>
      <c r="P22" s="801">
        <f t="shared" si="5"/>
        <v>28525</v>
      </c>
      <c r="Q22" s="802">
        <f t="shared" si="5"/>
        <v>38549.630000000005</v>
      </c>
      <c r="R22" s="801">
        <f t="shared" si="5"/>
        <v>37000</v>
      </c>
      <c r="S22" s="802">
        <f t="shared" si="5"/>
        <v>27210.83</v>
      </c>
      <c r="T22" s="1332">
        <v>32800</v>
      </c>
      <c r="U22" s="1333">
        <f t="shared" ref="U22:AC22" si="6">SUM(U18:U21)</f>
        <v>14143.64</v>
      </c>
      <c r="V22" s="1332">
        <f t="shared" si="6"/>
        <v>24421.239999999998</v>
      </c>
      <c r="W22" s="1342">
        <f>W18+W19+W20+W21-W17</f>
        <v>21263</v>
      </c>
      <c r="X22" s="814">
        <f t="shared" si="6"/>
        <v>8709.6</v>
      </c>
      <c r="Y22" s="803">
        <f t="shared" si="6"/>
        <v>21200</v>
      </c>
      <c r="Z22" s="803">
        <f>SUM(Z18:Z21)</f>
        <v>7258</v>
      </c>
      <c r="AA22" s="804">
        <f t="shared" si="6"/>
        <v>8000</v>
      </c>
      <c r="AB22" s="804">
        <f t="shared" si="6"/>
        <v>12182.75</v>
      </c>
      <c r="AC22" s="804">
        <f t="shared" si="6"/>
        <v>6367.88</v>
      </c>
      <c r="AD22" s="347"/>
    </row>
    <row r="23" spans="1:34" x14ac:dyDescent="0.2">
      <c r="F23" s="14"/>
      <c r="G23" s="771"/>
      <c r="H23" s="675"/>
      <c r="I23" s="770"/>
      <c r="J23" s="675"/>
      <c r="K23" s="770"/>
      <c r="L23" s="675"/>
      <c r="M23" s="770"/>
      <c r="N23" s="41"/>
      <c r="O23" s="772"/>
      <c r="P23" s="41"/>
      <c r="Q23" s="772"/>
      <c r="R23" s="41"/>
      <c r="S23" s="772"/>
      <c r="T23" s="13"/>
      <c r="U23" s="1334"/>
      <c r="V23" s="13"/>
      <c r="W23" s="1343"/>
      <c r="X23" s="815"/>
      <c r="Y23" s="790"/>
      <c r="Z23" s="790"/>
      <c r="AA23" s="1853"/>
      <c r="AB23" s="1385"/>
      <c r="AC23" s="790"/>
      <c r="AD23" s="347"/>
    </row>
    <row r="24" spans="1:34" ht="25.5" x14ac:dyDescent="0.2">
      <c r="B24" s="282"/>
      <c r="C24" s="285" t="s">
        <v>523</v>
      </c>
      <c r="E24" s="282"/>
      <c r="F24" s="747">
        <v>2700</v>
      </c>
      <c r="G24" s="748">
        <v>2436.09</v>
      </c>
      <c r="H24" s="747">
        <v>2585</v>
      </c>
      <c r="I24" s="748">
        <v>2457.19</v>
      </c>
      <c r="J24" s="747">
        <v>2729.9999999999995</v>
      </c>
      <c r="K24" s="748">
        <v>1884.75</v>
      </c>
      <c r="L24" s="747">
        <v>2158</v>
      </c>
      <c r="M24" s="748">
        <v>1445.35</v>
      </c>
      <c r="N24" s="757">
        <v>6116</v>
      </c>
      <c r="O24" s="758">
        <v>1752.89</v>
      </c>
      <c r="P24" s="757">
        <v>3000</v>
      </c>
      <c r="Q24" s="758">
        <v>844.85</v>
      </c>
      <c r="R24" s="757">
        <v>800</v>
      </c>
      <c r="S24" s="758">
        <v>1239.48</v>
      </c>
      <c r="T24" s="1330">
        <v>800</v>
      </c>
      <c r="U24" s="1331">
        <v>370.18</v>
      </c>
      <c r="V24" s="1330">
        <f>(35*5)+U24+(20*5)</f>
        <v>645.18000000000006</v>
      </c>
      <c r="W24" s="1343">
        <v>530</v>
      </c>
      <c r="X24" s="813">
        <f>(Z24/10)*12</f>
        <v>1233.9960000000001</v>
      </c>
      <c r="Y24" s="788">
        <v>600</v>
      </c>
      <c r="Z24" s="788">
        <f>1028.33</f>
        <v>1028.33</v>
      </c>
      <c r="AA24" s="796">
        <v>600</v>
      </c>
      <c r="AB24" s="1381">
        <f>423.49</f>
        <v>423.49</v>
      </c>
      <c r="AC24" s="788">
        <f>AB24+500</f>
        <v>923.49</v>
      </c>
      <c r="AD24" s="1282" t="s">
        <v>867</v>
      </c>
    </row>
    <row r="25" spans="1:34" hidden="1" x14ac:dyDescent="0.2">
      <c r="B25" s="282"/>
      <c r="C25" s="285" t="s">
        <v>524</v>
      </c>
      <c r="E25" s="282"/>
      <c r="F25" s="764">
        <v>1720</v>
      </c>
      <c r="G25" s="763">
        <v>1695.72</v>
      </c>
      <c r="H25" s="764">
        <v>1728</v>
      </c>
      <c r="I25" s="763">
        <v>1019.15</v>
      </c>
      <c r="J25" s="764">
        <v>2527.0000000000005</v>
      </c>
      <c r="K25" s="763">
        <v>437.32</v>
      </c>
      <c r="L25" s="764">
        <v>1158</v>
      </c>
      <c r="M25" s="763">
        <v>0</v>
      </c>
      <c r="N25" s="347"/>
      <c r="O25" s="752"/>
      <c r="P25" s="347"/>
      <c r="Q25" s="752"/>
      <c r="R25" s="347"/>
      <c r="S25" s="752"/>
      <c r="T25" s="1330"/>
      <c r="U25" s="1331"/>
      <c r="V25" s="1330"/>
      <c r="W25" s="1343"/>
      <c r="X25" s="813"/>
      <c r="Y25" s="788"/>
      <c r="Z25" s="788"/>
      <c r="AA25" s="796"/>
      <c r="AB25" s="1381"/>
      <c r="AC25" s="788"/>
      <c r="AD25" s="102"/>
    </row>
    <row r="26" spans="1:34" hidden="1" x14ac:dyDescent="0.2">
      <c r="B26" s="282"/>
      <c r="C26" s="285" t="s">
        <v>302</v>
      </c>
      <c r="E26" s="282"/>
      <c r="F26" s="747">
        <v>2200</v>
      </c>
      <c r="G26" s="748">
        <v>2269.04</v>
      </c>
      <c r="H26" s="747">
        <v>2501</v>
      </c>
      <c r="I26" s="748">
        <v>2355</v>
      </c>
      <c r="J26" s="747">
        <v>2457</v>
      </c>
      <c r="K26" s="748">
        <v>3162.81</v>
      </c>
      <c r="L26" s="747">
        <v>2800</v>
      </c>
      <c r="M26" s="748">
        <v>1389.32</v>
      </c>
      <c r="N26" s="757"/>
      <c r="O26" s="758"/>
      <c r="P26" s="757"/>
      <c r="Q26" s="758"/>
      <c r="R26" s="757"/>
      <c r="S26" s="758"/>
      <c r="T26" s="1330"/>
      <c r="U26" s="1331"/>
      <c r="V26" s="1330"/>
      <c r="W26" s="1343"/>
      <c r="X26" s="813"/>
      <c r="Y26" s="788"/>
      <c r="Z26" s="788"/>
      <c r="AA26" s="796"/>
      <c r="AB26" s="1381"/>
      <c r="AC26" s="788"/>
      <c r="AD26" s="347"/>
    </row>
    <row r="27" spans="1:34" ht="15.75" x14ac:dyDescent="0.25">
      <c r="A27" s="336"/>
      <c r="B27" s="282"/>
      <c r="C27" s="34"/>
      <c r="D27" s="276" t="s">
        <v>525</v>
      </c>
      <c r="E27" s="660"/>
      <c r="F27" s="776">
        <f>SUM(F24:F26)</f>
        <v>6620</v>
      </c>
      <c r="G27" s="805">
        <f>SUM(G24:G26)</f>
        <v>6400.85</v>
      </c>
      <c r="H27" s="776">
        <f>SUM(H24:H26)</f>
        <v>6814</v>
      </c>
      <c r="I27" s="805">
        <f t="shared" ref="I27:N27" si="7">SUM(I24:I26)</f>
        <v>5831.34</v>
      </c>
      <c r="J27" s="776">
        <f t="shared" si="7"/>
        <v>7714</v>
      </c>
      <c r="K27" s="805">
        <f t="shared" si="7"/>
        <v>5484.88</v>
      </c>
      <c r="L27" s="776">
        <f t="shared" si="7"/>
        <v>6116</v>
      </c>
      <c r="M27" s="805">
        <f t="shared" si="7"/>
        <v>2834.67</v>
      </c>
      <c r="N27" s="776">
        <f t="shared" si="7"/>
        <v>6116</v>
      </c>
      <c r="O27" s="805">
        <f>SUM(O24:O26)</f>
        <v>1752.89</v>
      </c>
      <c r="P27" s="776">
        <f>SUM(P24:P26)</f>
        <v>3000</v>
      </c>
      <c r="Q27" s="805">
        <f>SUM(Q24:Q26)</f>
        <v>844.85</v>
      </c>
      <c r="R27" s="776">
        <v>800</v>
      </c>
      <c r="S27" s="805">
        <f>SUM(S24:S26)</f>
        <v>1239.48</v>
      </c>
      <c r="T27" s="1335">
        <v>800</v>
      </c>
      <c r="U27" s="1336">
        <f t="shared" ref="U27:AC27" si="8">SUM(U24:U26)</f>
        <v>370.18</v>
      </c>
      <c r="V27" s="1335">
        <f t="shared" si="8"/>
        <v>645.18000000000006</v>
      </c>
      <c r="W27" s="1344">
        <f>SUM(W24:W26)</f>
        <v>530</v>
      </c>
      <c r="X27" s="816">
        <f t="shared" si="8"/>
        <v>1233.9960000000001</v>
      </c>
      <c r="Y27" s="791">
        <f t="shared" si="8"/>
        <v>600</v>
      </c>
      <c r="Z27" s="791">
        <f>SUM(Z24:Z26)</f>
        <v>1028.33</v>
      </c>
      <c r="AA27" s="798">
        <f t="shared" si="8"/>
        <v>600</v>
      </c>
      <c r="AB27" s="798">
        <f t="shared" si="8"/>
        <v>423.49</v>
      </c>
      <c r="AC27" s="2100">
        <f t="shared" si="8"/>
        <v>923.49</v>
      </c>
      <c r="AD27" s="347"/>
    </row>
    <row r="28" spans="1:34" x14ac:dyDescent="0.2">
      <c r="F28" s="773"/>
      <c r="G28" s="774"/>
      <c r="H28" s="14"/>
      <c r="I28" s="771"/>
      <c r="J28" s="14"/>
      <c r="K28" s="771"/>
      <c r="L28" s="14"/>
      <c r="M28" s="771"/>
      <c r="N28" s="41"/>
      <c r="O28" s="772"/>
      <c r="P28" s="41"/>
      <c r="Q28" s="772"/>
      <c r="R28" s="41"/>
      <c r="S28" s="772"/>
      <c r="T28" s="13"/>
      <c r="U28" s="1334"/>
      <c r="V28" s="13"/>
      <c r="W28" s="1343"/>
      <c r="X28" s="815"/>
      <c r="Y28" s="790"/>
      <c r="Z28" s="790"/>
      <c r="AA28" s="1853"/>
      <c r="AB28" s="1385"/>
      <c r="AC28" s="790"/>
      <c r="AD28" s="347"/>
    </row>
    <row r="29" spans="1:34" ht="15" hidden="1" x14ac:dyDescent="0.25">
      <c r="A29" s="759"/>
      <c r="B29" s="276"/>
      <c r="C29" s="760" t="s">
        <v>526</v>
      </c>
      <c r="D29" s="276"/>
      <c r="E29" s="759"/>
      <c r="F29" s="775">
        <f>F22-F27</f>
        <v>7480</v>
      </c>
      <c r="G29" s="775">
        <f>G22-G27</f>
        <v>9469.43</v>
      </c>
      <c r="H29" s="775">
        <f>H22-H27</f>
        <v>8193</v>
      </c>
      <c r="I29" s="775">
        <f t="shared" ref="I29:S29" si="9">I22-I27</f>
        <v>25428.920000000002</v>
      </c>
      <c r="J29" s="775">
        <f t="shared" si="9"/>
        <v>6207</v>
      </c>
      <c r="K29" s="775">
        <f t="shared" si="9"/>
        <v>18504.830000000002</v>
      </c>
      <c r="L29" s="775">
        <f t="shared" si="9"/>
        <v>11709</v>
      </c>
      <c r="M29" s="775">
        <f t="shared" si="9"/>
        <v>38163.710000000006</v>
      </c>
      <c r="N29" s="775">
        <f t="shared" si="9"/>
        <v>16409</v>
      </c>
      <c r="O29" s="775">
        <f t="shared" si="9"/>
        <v>42223.09</v>
      </c>
      <c r="P29" s="775">
        <f t="shared" si="9"/>
        <v>25525</v>
      </c>
      <c r="Q29" s="775">
        <f t="shared" si="9"/>
        <v>37704.780000000006</v>
      </c>
      <c r="R29" s="775">
        <f t="shared" si="9"/>
        <v>36200</v>
      </c>
      <c r="S29" s="775">
        <f t="shared" si="9"/>
        <v>25971.350000000002</v>
      </c>
      <c r="T29" s="1336">
        <v>32000</v>
      </c>
      <c r="U29" s="1336">
        <f>U22-U27</f>
        <v>13773.46</v>
      </c>
      <c r="V29" s="1336">
        <f>V22-V27</f>
        <v>23776.059999999998</v>
      </c>
      <c r="W29" s="1343"/>
      <c r="X29" s="816"/>
      <c r="Y29" s="791">
        <f>SUM(Y27)</f>
        <v>600</v>
      </c>
      <c r="Z29" s="791">
        <f>SUM(Z24:Z28)</f>
        <v>2056.66</v>
      </c>
      <c r="AA29" s="798"/>
      <c r="AB29" s="1386"/>
      <c r="AC29" s="791"/>
      <c r="AD29" s="674"/>
      <c r="AE29" s="336"/>
      <c r="AF29" s="336"/>
      <c r="AG29" s="336"/>
      <c r="AH29" s="336"/>
    </row>
    <row r="30" spans="1:34" hidden="1" x14ac:dyDescent="0.2">
      <c r="F30" s="14"/>
      <c r="G30" s="771"/>
      <c r="H30" s="14"/>
      <c r="I30" s="771"/>
      <c r="J30" s="14"/>
      <c r="K30" s="771"/>
      <c r="L30" s="14"/>
      <c r="M30" s="771"/>
      <c r="O30" s="771"/>
      <c r="Q30" s="771"/>
      <c r="S30" s="771"/>
      <c r="T30" s="13"/>
      <c r="U30" s="1334"/>
      <c r="V30" s="13"/>
      <c r="W30" s="1343"/>
      <c r="X30" s="815"/>
      <c r="Y30" s="789"/>
      <c r="Z30" s="790"/>
      <c r="AA30" s="1853"/>
      <c r="AB30" s="1385"/>
      <c r="AC30" s="790"/>
      <c r="AD30" s="41"/>
    </row>
    <row r="31" spans="1:34" ht="15" x14ac:dyDescent="0.25">
      <c r="D31" t="s">
        <v>527</v>
      </c>
      <c r="F31" s="764" t="e">
        <f>F6+#REF!+F22</f>
        <v>#REF!</v>
      </c>
      <c r="G31" s="763" t="e">
        <f>G6+#REF!+G22</f>
        <v>#REF!</v>
      </c>
      <c r="H31" s="764" t="e">
        <f>H6+#REF!+H22</f>
        <v>#REF!</v>
      </c>
      <c r="I31" s="763" t="e">
        <f>I6+#REF!+I22</f>
        <v>#REF!</v>
      </c>
      <c r="J31" s="764" t="e">
        <f>J6+#REF!+J22</f>
        <v>#REF!</v>
      </c>
      <c r="K31" s="763" t="e">
        <f>K6+#REF!+K22</f>
        <v>#REF!</v>
      </c>
      <c r="L31" s="764" t="e">
        <f>L6+#REF!+L22</f>
        <v>#REF!</v>
      </c>
      <c r="M31" s="763" t="e">
        <f>M6+#REF!+M22</f>
        <v>#REF!</v>
      </c>
      <c r="N31" s="764" t="e">
        <f>N6+#REF!+N22</f>
        <v>#REF!</v>
      </c>
      <c r="O31" s="763" t="e">
        <f>O6+#REF!+O22</f>
        <v>#REF!</v>
      </c>
      <c r="P31" s="764" t="e">
        <f>P6+#REF!+P22</f>
        <v>#REF!</v>
      </c>
      <c r="Q31" s="763" t="e">
        <f>Q6+#REF!+Q22</f>
        <v>#REF!</v>
      </c>
      <c r="R31" s="764">
        <v>306250</v>
      </c>
      <c r="S31" s="763" t="e">
        <f>S6+#REF!+S22</f>
        <v>#REF!</v>
      </c>
      <c r="T31" s="1345">
        <f>T6+T13+T18+T20+T21</f>
        <v>249400</v>
      </c>
      <c r="U31" s="1328">
        <f>U6+U13+U18+U20+U21</f>
        <v>144452.85999999999</v>
      </c>
      <c r="V31" s="1327">
        <f>V6+V13+18+V19+V20+V21</f>
        <v>247226.47428571427</v>
      </c>
      <c r="W31" s="1341">
        <f>W6+W13+W18+W19+W20+W21</f>
        <v>245821</v>
      </c>
      <c r="X31" s="811">
        <f>X6+X13+23</f>
        <v>286844.95</v>
      </c>
      <c r="Y31" s="795">
        <f t="shared" ref="Y31:AA31" si="10">Y6+Y22</f>
        <v>268135</v>
      </c>
      <c r="Z31" s="795">
        <f t="shared" si="10"/>
        <v>252582</v>
      </c>
      <c r="AA31" s="795">
        <f t="shared" si="10"/>
        <v>268821.63</v>
      </c>
      <c r="AB31" s="795">
        <f>AB6+AB22</f>
        <v>283834.74000000005</v>
      </c>
      <c r="AC31" s="795">
        <f>AC6+AC22</f>
        <v>291352.99950000003</v>
      </c>
      <c r="AD31" s="282" t="s">
        <v>869</v>
      </c>
      <c r="AE31" s="759"/>
      <c r="AF31" s="759"/>
      <c r="AG31" s="759"/>
      <c r="AH31" s="759"/>
    </row>
    <row r="32" spans="1:34" ht="15.75" x14ac:dyDescent="0.25">
      <c r="B32" s="282"/>
      <c r="C32" s="34"/>
      <c r="D32" s="282" t="s">
        <v>528</v>
      </c>
      <c r="E32" s="282"/>
      <c r="F32" s="747">
        <f t="shared" ref="F32:Q32" si="11">F10+F14+F27</f>
        <v>129034</v>
      </c>
      <c r="G32" s="748">
        <f t="shared" si="11"/>
        <v>150928.1</v>
      </c>
      <c r="H32" s="747">
        <f t="shared" si="11"/>
        <v>132842</v>
      </c>
      <c r="I32" s="748">
        <f t="shared" si="11"/>
        <v>131835.65</v>
      </c>
      <c r="J32" s="747">
        <f t="shared" si="11"/>
        <v>153583</v>
      </c>
      <c r="K32" s="748">
        <f t="shared" si="11"/>
        <v>162862.33000000002</v>
      </c>
      <c r="L32" s="747">
        <f t="shared" si="11"/>
        <v>106116.48</v>
      </c>
      <c r="M32" s="748">
        <f t="shared" si="11"/>
        <v>60255.28</v>
      </c>
      <c r="N32" s="747">
        <f t="shared" si="11"/>
        <v>53954.721989500002</v>
      </c>
      <c r="O32" s="748">
        <f t="shared" si="11"/>
        <v>23631.43</v>
      </c>
      <c r="P32" s="747">
        <f t="shared" si="11"/>
        <v>7850</v>
      </c>
      <c r="Q32" s="748">
        <f t="shared" si="11"/>
        <v>6730.5300000000007</v>
      </c>
      <c r="R32" s="747">
        <v>21950</v>
      </c>
      <c r="S32" s="748">
        <f>S10+S14+S27</f>
        <v>21782.42</v>
      </c>
      <c r="T32" s="1345">
        <f>T10+T14+T27</f>
        <v>24192.55</v>
      </c>
      <c r="U32" s="1328">
        <f>U10+U14+U27</f>
        <v>3291.15</v>
      </c>
      <c r="V32" s="1327">
        <f>V10+V14+V27</f>
        <v>6863.2714285714283</v>
      </c>
      <c r="W32" s="1341">
        <f>W10+W14+W17+W27</f>
        <v>5056</v>
      </c>
      <c r="X32" s="811">
        <f>X10+X14+X27</f>
        <v>21885.995999999999</v>
      </c>
      <c r="Y32" s="795">
        <f t="shared" ref="Y32:AA32" si="12">Y10+Y27</f>
        <v>5000</v>
      </c>
      <c r="Z32" s="795">
        <f t="shared" si="12"/>
        <v>5118.33</v>
      </c>
      <c r="AA32" s="795">
        <f t="shared" si="12"/>
        <v>4710</v>
      </c>
      <c r="AB32" s="795">
        <f>AB10+AB27</f>
        <v>1974.3799999999999</v>
      </c>
      <c r="AC32" s="795">
        <f>AC10+AC27</f>
        <v>2697.9120000000003</v>
      </c>
      <c r="AD32" s="282" t="s">
        <v>869</v>
      </c>
      <c r="AE32" s="1350"/>
    </row>
    <row r="33" spans="1:34" ht="16.5" thickBot="1" x14ac:dyDescent="0.3">
      <c r="A33" s="759"/>
      <c r="B33" s="276"/>
      <c r="C33" s="777"/>
      <c r="D33" s="777" t="s">
        <v>22</v>
      </c>
      <c r="E33" s="778"/>
      <c r="F33" s="779" t="e">
        <f>F31-F32</f>
        <v>#REF!</v>
      </c>
      <c r="G33" s="780" t="e">
        <f>G31-G32</f>
        <v>#REF!</v>
      </c>
      <c r="H33" s="779" t="e">
        <f>H31-H32</f>
        <v>#REF!</v>
      </c>
      <c r="I33" s="780" t="e">
        <f t="shared" ref="I33:S33" si="13">I31-I32</f>
        <v>#REF!</v>
      </c>
      <c r="J33" s="779" t="e">
        <f t="shared" si="13"/>
        <v>#REF!</v>
      </c>
      <c r="K33" s="780" t="e">
        <f t="shared" si="13"/>
        <v>#REF!</v>
      </c>
      <c r="L33" s="779" t="e">
        <f t="shared" si="13"/>
        <v>#REF!</v>
      </c>
      <c r="M33" s="780" t="e">
        <f t="shared" si="13"/>
        <v>#REF!</v>
      </c>
      <c r="N33" s="779" t="e">
        <f t="shared" si="13"/>
        <v>#REF!</v>
      </c>
      <c r="O33" s="780" t="e">
        <f t="shared" si="13"/>
        <v>#REF!</v>
      </c>
      <c r="P33" s="779" t="e">
        <f t="shared" si="13"/>
        <v>#REF!</v>
      </c>
      <c r="Q33" s="780" t="e">
        <f t="shared" si="13"/>
        <v>#REF!</v>
      </c>
      <c r="R33" s="779">
        <f t="shared" si="13"/>
        <v>284300</v>
      </c>
      <c r="S33" s="780" t="e">
        <f t="shared" si="13"/>
        <v>#REF!</v>
      </c>
      <c r="T33" s="1346">
        <f t="shared" ref="T33:Y33" si="14">T31-T32</f>
        <v>225207.45</v>
      </c>
      <c r="U33" s="1337">
        <f t="shared" si="14"/>
        <v>141161.71</v>
      </c>
      <c r="V33" s="1337">
        <f t="shared" si="14"/>
        <v>240363.20285714284</v>
      </c>
      <c r="W33" s="1342">
        <f t="shared" si="14"/>
        <v>240765</v>
      </c>
      <c r="X33" s="817">
        <f t="shared" si="14"/>
        <v>264958.95400000003</v>
      </c>
      <c r="Y33" s="792">
        <f t="shared" si="14"/>
        <v>263135</v>
      </c>
      <c r="Z33" s="792">
        <f>Z31-Z32</f>
        <v>247463.67</v>
      </c>
      <c r="AA33" s="799">
        <f>AA31-AA32</f>
        <v>264111.63</v>
      </c>
      <c r="AB33" s="799">
        <f t="shared" ref="AB33:AC33" si="15">AB31-AB32</f>
        <v>281860.36000000004</v>
      </c>
      <c r="AC33" s="799">
        <f t="shared" si="15"/>
        <v>288655.08750000002</v>
      </c>
      <c r="AD33" s="282" t="s">
        <v>869</v>
      </c>
      <c r="AE33" s="59"/>
    </row>
    <row r="34" spans="1:34" ht="13.5" thickTop="1" x14ac:dyDescent="0.2">
      <c r="AD34" s="102"/>
    </row>
    <row r="35" spans="1:34" ht="15" x14ac:dyDescent="0.25">
      <c r="AD35" s="781"/>
      <c r="AE35" s="759"/>
      <c r="AF35" s="759"/>
      <c r="AG35" s="759"/>
      <c r="AH35" s="759"/>
    </row>
    <row r="65529" spans="15:26" x14ac:dyDescent="0.2">
      <c r="O65529" s="782" t="e">
        <f>SUM(O33)</f>
        <v>#REF!</v>
      </c>
      <c r="P65529" s="782" t="e">
        <f>SUM(P33)</f>
        <v>#REF!</v>
      </c>
      <c r="Q65529" s="782"/>
      <c r="R65529" s="782"/>
      <c r="S65529" s="782" t="e">
        <f>SUM(S33)</f>
        <v>#REF!</v>
      </c>
      <c r="T65529" s="782">
        <f>SUM(T33)</f>
        <v>225207.45</v>
      </c>
      <c r="U65529" s="782"/>
      <c r="V65529" s="782"/>
      <c r="X65529" s="800"/>
      <c r="Z65529" s="800"/>
    </row>
  </sheetData>
  <pageMargins left="0.7" right="0.7" top="0.75" bottom="0.75" header="0.3" footer="0.3"/>
  <pageSetup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Forms, Red, Labels</vt:lpstr>
      <vt:lpstr>Admin.</vt:lpstr>
      <vt:lpstr>Events</vt:lpstr>
      <vt:lpstr>Comm. (2)</vt:lpstr>
      <vt:lpstr>GA(2)</vt:lpstr>
      <vt:lpstr>Education</vt:lpstr>
      <vt:lpstr>Membership</vt:lpstr>
      <vt:lpstr>Other</vt:lpstr>
      <vt:lpstr>Forms, Redbook, Labels, etc.</vt:lpstr>
      <vt:lpstr>Admin.!Print_Area</vt:lpstr>
      <vt:lpstr>'Comm. (2)'!Print_Area</vt:lpstr>
      <vt:lpstr>'Forms, Red, Labels'!Print_Area</vt:lpstr>
      <vt:lpstr>'Forms, Redbook, Labels, etc.'!Print_Area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BUDGET</dc:title>
  <dc:creator>LOU MONTALDI</dc:creator>
  <cp:lastModifiedBy>Teri Bilby</cp:lastModifiedBy>
  <cp:lastPrinted>2021-12-01T00:47:15Z</cp:lastPrinted>
  <dcterms:created xsi:type="dcterms:W3CDTF">1997-11-05T16:58:54Z</dcterms:created>
  <dcterms:modified xsi:type="dcterms:W3CDTF">2021-12-01T04:08:05Z</dcterms:modified>
</cp:coreProperties>
</file>