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P:\Finance Department\Budget\2022 Budget\Planning 2022\"/>
    </mc:Choice>
  </mc:AlternateContent>
  <xr:revisionPtr revIDLastSave="0" documentId="13_ncr:1_{557A4C2F-945D-43B5-82D7-CEBD50B35C39}" xr6:coauthVersionLast="47" xr6:coauthVersionMax="47" xr10:uidLastSave="{00000000-0000-0000-0000-000000000000}"/>
  <bookViews>
    <workbookView xWindow="-120" yWindow="-120" windowWidth="29040" windowHeight="15840" firstSheet="1" activeTab="7" xr2:uid="{00000000-000D-0000-FFFF-FFFF00000000}"/>
  </bookViews>
  <sheets>
    <sheet name="Home SheetInstructions" sheetId="1" state="hidden" r:id="rId1"/>
    <sheet name="Master" sheetId="2" r:id="rId2"/>
    <sheet name="Admin" sheetId="3" state="hidden" r:id="rId3"/>
    <sheet name="Membership" sheetId="4" r:id="rId4"/>
    <sheet name="GA" sheetId="5" r:id="rId5"/>
    <sheet name="Education" sheetId="6" r:id="rId6"/>
    <sheet name="Events" sheetId="7" r:id="rId7"/>
    <sheet name="Communications" sheetId="8" r:id="rId8"/>
  </sheets>
  <externalReferences>
    <externalReference r:id="rId9"/>
  </externalReferences>
  <definedNames>
    <definedName name="_xlnm.Print_Area" localSheetId="7">Communications!$A$1:$R$132</definedName>
    <definedName name="_xlnm.Print_Area" localSheetId="4">GA!$A$1:$N$130</definedName>
    <definedName name="_xlnm.Print_Area" localSheetId="1">Master!$A$1:$R$139</definedName>
    <definedName name="_xlnm.Print_Area" localSheetId="3">Membership!$A$1:$Q$132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3" i="7" l="1"/>
  <c r="N130" i="8"/>
  <c r="G104" i="6"/>
  <c r="G8" i="6"/>
  <c r="C104" i="6"/>
  <c r="B104" i="6"/>
  <c r="C8" i="6"/>
  <c r="B8" i="6"/>
  <c r="K104" i="6"/>
  <c r="L104" i="6"/>
  <c r="H104" i="6"/>
  <c r="F104" i="6"/>
  <c r="D104" i="6"/>
  <c r="L8" i="6"/>
  <c r="H8" i="6"/>
  <c r="D8" i="6"/>
  <c r="O130" i="6" l="1"/>
  <c r="O101" i="6"/>
  <c r="Q101" i="6" s="1"/>
  <c r="P101" i="6"/>
  <c r="O102" i="6"/>
  <c r="P102" i="6"/>
  <c r="Q102" i="6"/>
  <c r="O103" i="6"/>
  <c r="Q103" i="6" s="1"/>
  <c r="P103" i="6"/>
  <c r="O104" i="6"/>
  <c r="P104" i="6"/>
  <c r="Q100" i="6"/>
  <c r="P100" i="6"/>
  <c r="O100" i="6"/>
  <c r="Q68" i="6"/>
  <c r="P68" i="6"/>
  <c r="O68" i="6"/>
  <c r="Q76" i="2"/>
  <c r="P76" i="2"/>
  <c r="O76" i="2"/>
  <c r="Q31" i="6"/>
  <c r="P31" i="6"/>
  <c r="O31" i="6"/>
  <c r="Q5" i="6"/>
  <c r="Q6" i="6"/>
  <c r="Q7" i="6"/>
  <c r="P4" i="6"/>
  <c r="P5" i="6"/>
  <c r="P6" i="6"/>
  <c r="P7" i="6"/>
  <c r="P8" i="6"/>
  <c r="O5" i="6"/>
  <c r="O6" i="6"/>
  <c r="O7" i="6"/>
  <c r="O8" i="6"/>
  <c r="Q4" i="6"/>
  <c r="O4" i="6"/>
  <c r="P116" i="2"/>
  <c r="O116" i="2"/>
  <c r="P115" i="2"/>
  <c r="O115" i="2"/>
  <c r="P114" i="2"/>
  <c r="O114" i="2" l="1"/>
  <c r="C111" i="2"/>
  <c r="D111" i="2"/>
  <c r="E111" i="2"/>
  <c r="F111" i="2"/>
  <c r="G111" i="2"/>
  <c r="H111" i="2"/>
  <c r="I111" i="2"/>
  <c r="J111" i="2"/>
  <c r="K111" i="2"/>
  <c r="L111" i="2"/>
  <c r="M111" i="2"/>
  <c r="C112" i="2"/>
  <c r="D112" i="2"/>
  <c r="E112" i="2"/>
  <c r="F112" i="2"/>
  <c r="G112" i="2"/>
  <c r="H112" i="2"/>
  <c r="I112" i="2"/>
  <c r="J112" i="2"/>
  <c r="K112" i="2"/>
  <c r="L112" i="2"/>
  <c r="M112" i="2"/>
  <c r="C113" i="2"/>
  <c r="D113" i="2"/>
  <c r="E113" i="2"/>
  <c r="F113" i="2"/>
  <c r="G113" i="2"/>
  <c r="H113" i="2"/>
  <c r="I113" i="2"/>
  <c r="J113" i="2"/>
  <c r="K113" i="2"/>
  <c r="L113" i="2"/>
  <c r="M113" i="2"/>
  <c r="C114" i="2"/>
  <c r="D114" i="2"/>
  <c r="E114" i="2"/>
  <c r="F114" i="2"/>
  <c r="G114" i="2"/>
  <c r="H114" i="2"/>
  <c r="I114" i="2"/>
  <c r="J114" i="2"/>
  <c r="K114" i="2"/>
  <c r="L114" i="2"/>
  <c r="M114" i="2"/>
  <c r="C115" i="2"/>
  <c r="D115" i="2"/>
  <c r="E115" i="2"/>
  <c r="F115" i="2"/>
  <c r="G115" i="2"/>
  <c r="H115" i="2"/>
  <c r="I115" i="2"/>
  <c r="J115" i="2"/>
  <c r="K115" i="2"/>
  <c r="L115" i="2"/>
  <c r="M115" i="2"/>
  <c r="B112" i="2"/>
  <c r="B113" i="2"/>
  <c r="B114" i="2"/>
  <c r="B115" i="2"/>
  <c r="B111" i="2"/>
  <c r="P112" i="2"/>
  <c r="O112" i="2"/>
  <c r="P111" i="2"/>
  <c r="O111" i="2"/>
  <c r="O131" i="6"/>
  <c r="P131" i="6"/>
  <c r="P130" i="6"/>
  <c r="Q132" i="7"/>
  <c r="Q133" i="7"/>
  <c r="Q134" i="7"/>
  <c r="O133" i="7"/>
  <c r="C133" i="7"/>
  <c r="D133" i="7"/>
  <c r="E133" i="7"/>
  <c r="F133" i="7"/>
  <c r="G133" i="7"/>
  <c r="H133" i="7"/>
  <c r="I133" i="7"/>
  <c r="J133" i="7"/>
  <c r="K133" i="7"/>
  <c r="L133" i="7"/>
  <c r="M133" i="7"/>
  <c r="N133" i="7"/>
  <c r="B133" i="7"/>
  <c r="C132" i="7"/>
  <c r="D132" i="7"/>
  <c r="E132" i="7"/>
  <c r="F132" i="7"/>
  <c r="G132" i="7"/>
  <c r="H132" i="7"/>
  <c r="I132" i="7"/>
  <c r="J132" i="7"/>
  <c r="K132" i="7"/>
  <c r="L132" i="7"/>
  <c r="M132" i="7"/>
  <c r="N132" i="7"/>
  <c r="B132" i="7"/>
  <c r="P132" i="7"/>
  <c r="P134" i="7" s="1"/>
  <c r="O132" i="7"/>
  <c r="P128" i="2"/>
  <c r="O128" i="2"/>
  <c r="O125" i="2"/>
  <c r="Q18" i="2"/>
  <c r="O18" i="2"/>
  <c r="B114" i="7"/>
  <c r="B17" i="7"/>
  <c r="O17" i="7"/>
  <c r="O114" i="7"/>
  <c r="P126" i="2"/>
  <c r="O126" i="2"/>
  <c r="P124" i="2"/>
  <c r="O124" i="2"/>
  <c r="P132" i="6" l="1"/>
  <c r="O132" i="6"/>
  <c r="O134" i="7"/>
  <c r="O123" i="2" l="1"/>
  <c r="O112" i="7" s="1"/>
  <c r="P122" i="2"/>
  <c r="P111" i="7" s="1"/>
  <c r="P121" i="2"/>
  <c r="O120" i="2"/>
  <c r="P119" i="2"/>
  <c r="O119" i="2"/>
  <c r="O108" i="7" s="1"/>
  <c r="P118" i="2"/>
  <c r="O118" i="2"/>
  <c r="P108" i="7"/>
  <c r="P109" i="7"/>
  <c r="O110" i="7"/>
  <c r="P110" i="7"/>
  <c r="O111" i="7"/>
  <c r="P112" i="7"/>
  <c r="O113" i="7"/>
  <c r="P113" i="7"/>
  <c r="P114" i="7"/>
  <c r="O115" i="7"/>
  <c r="P115" i="7"/>
  <c r="O116" i="7"/>
  <c r="P116" i="7"/>
  <c r="O117" i="7"/>
  <c r="P117" i="7"/>
  <c r="P107" i="7"/>
  <c r="O107" i="7"/>
  <c r="O12" i="7"/>
  <c r="P12" i="7"/>
  <c r="O13" i="7"/>
  <c r="P13" i="7"/>
  <c r="O14" i="7"/>
  <c r="P14" i="7"/>
  <c r="O15" i="7"/>
  <c r="P15" i="7"/>
  <c r="O16" i="7"/>
  <c r="P16" i="7"/>
  <c r="P17" i="7"/>
  <c r="O18" i="7"/>
  <c r="P18" i="7"/>
  <c r="P11" i="7"/>
  <c r="O11" i="7"/>
  <c r="O22" i="2"/>
  <c r="O23" i="2"/>
  <c r="P20" i="2"/>
  <c r="O20" i="2"/>
  <c r="P19" i="2"/>
  <c r="O19" i="2"/>
  <c r="P17" i="2"/>
  <c r="O17" i="2"/>
  <c r="P16" i="2"/>
  <c r="P15" i="2"/>
  <c r="O15" i="2"/>
  <c r="P14" i="2"/>
  <c r="O14" i="2"/>
  <c r="P13" i="2"/>
  <c r="O13" i="2"/>
  <c r="P12" i="2"/>
  <c r="O12" i="2"/>
  <c r="O109" i="7" l="1"/>
  <c r="F103" i="6"/>
  <c r="F7" i="6"/>
  <c r="P7" i="2" l="1"/>
  <c r="O7" i="2"/>
  <c r="P9" i="2" l="1"/>
  <c r="O9" i="2"/>
  <c r="P8" i="2"/>
  <c r="O8" i="2"/>
  <c r="O6" i="2"/>
  <c r="P5" i="2"/>
  <c r="O5" i="2"/>
  <c r="P4" i="2"/>
  <c r="O4" i="2"/>
  <c r="L113" i="7" l="1"/>
  <c r="L12" i="7"/>
  <c r="J115" i="7"/>
  <c r="C16" i="7"/>
  <c r="C112" i="7"/>
  <c r="E111" i="7"/>
  <c r="K109" i="7"/>
  <c r="G108" i="7"/>
  <c r="D134" i="7"/>
  <c r="F110" i="7"/>
  <c r="N117" i="7"/>
  <c r="N19" i="7"/>
  <c r="G11" i="7"/>
  <c r="E132" i="6"/>
  <c r="H132" i="6"/>
  <c r="I132" i="6"/>
  <c r="J132" i="6"/>
  <c r="M132" i="6"/>
  <c r="C131" i="6"/>
  <c r="D131" i="6"/>
  <c r="E131" i="6"/>
  <c r="F131" i="6"/>
  <c r="G131" i="6"/>
  <c r="H131" i="6"/>
  <c r="I131" i="6"/>
  <c r="J131" i="6"/>
  <c r="K131" i="6"/>
  <c r="K132" i="6" s="1"/>
  <c r="L131" i="6"/>
  <c r="M131" i="6"/>
  <c r="B131" i="6"/>
  <c r="C130" i="6"/>
  <c r="C132" i="6" s="1"/>
  <c r="D130" i="6"/>
  <c r="E130" i="6"/>
  <c r="F130" i="6"/>
  <c r="G130" i="6"/>
  <c r="H130" i="6"/>
  <c r="I130" i="6"/>
  <c r="J130" i="6"/>
  <c r="K130" i="6"/>
  <c r="L130" i="6"/>
  <c r="L132" i="6" s="1"/>
  <c r="M130" i="6"/>
  <c r="B130" i="6"/>
  <c r="M68" i="6"/>
  <c r="K68" i="6"/>
  <c r="J68" i="6"/>
  <c r="H68" i="6"/>
  <c r="J104" i="6"/>
  <c r="I104" i="6"/>
  <c r="E104" i="6"/>
  <c r="E103" i="6"/>
  <c r="H101" i="6"/>
  <c r="K100" i="6"/>
  <c r="H100" i="6"/>
  <c r="E100" i="6"/>
  <c r="D100" i="6"/>
  <c r="B100" i="6"/>
  <c r="L31" i="6"/>
  <c r="I31" i="6"/>
  <c r="G31" i="6"/>
  <c r="K8" i="6"/>
  <c r="J8" i="6"/>
  <c r="I8" i="6"/>
  <c r="F8" i="6"/>
  <c r="E8" i="6"/>
  <c r="E7" i="6"/>
  <c r="H6" i="6"/>
  <c r="G6" i="6"/>
  <c r="F6" i="6"/>
  <c r="E6" i="6"/>
  <c r="C6" i="6"/>
  <c r="B6" i="6"/>
  <c r="H5" i="6"/>
  <c r="K4" i="6"/>
  <c r="H4" i="6"/>
  <c r="E4" i="6"/>
  <c r="D4" i="6"/>
  <c r="B4" i="6"/>
  <c r="Q38" i="8"/>
  <c r="P38" i="8"/>
  <c r="O38" i="8"/>
  <c r="N38" i="8"/>
  <c r="Q37" i="8"/>
  <c r="P37" i="8"/>
  <c r="O37" i="8"/>
  <c r="N37" i="8"/>
  <c r="Q33" i="8"/>
  <c r="P33" i="8"/>
  <c r="O33" i="8"/>
  <c r="E33" i="8"/>
  <c r="D33" i="8"/>
  <c r="N33" i="8" s="1"/>
  <c r="Q29" i="8"/>
  <c r="P29" i="8"/>
  <c r="O29" i="8"/>
  <c r="N29" i="8"/>
  <c r="M29" i="8"/>
  <c r="B132" i="6" l="1"/>
  <c r="G132" i="6"/>
  <c r="D132" i="6"/>
  <c r="I134" i="7"/>
  <c r="H134" i="7"/>
  <c r="K134" i="7"/>
  <c r="F134" i="7"/>
  <c r="J134" i="7"/>
  <c r="F132" i="6"/>
  <c r="B134" i="7"/>
  <c r="M134" i="7"/>
  <c r="E134" i="7"/>
  <c r="G134" i="7"/>
  <c r="L134" i="7"/>
  <c r="C134" i="7"/>
  <c r="M23" i="4" l="1"/>
  <c r="L23" i="4"/>
  <c r="K23" i="4"/>
  <c r="J23" i="4"/>
  <c r="I23" i="4"/>
  <c r="H23" i="4"/>
  <c r="G23" i="4"/>
  <c r="F23" i="4"/>
  <c r="E23" i="4"/>
  <c r="E130" i="4" s="1"/>
  <c r="D23" i="4"/>
  <c r="D130" i="4" s="1"/>
  <c r="C20" i="4"/>
  <c r="C130" i="4" s="1"/>
  <c r="B20" i="4"/>
  <c r="B130" i="4" s="1"/>
  <c r="B132" i="4" s="1"/>
  <c r="C131" i="4"/>
  <c r="D131" i="4"/>
  <c r="E131" i="4"/>
  <c r="F131" i="4"/>
  <c r="G131" i="4"/>
  <c r="H131" i="4"/>
  <c r="I131" i="4"/>
  <c r="J131" i="4"/>
  <c r="K131" i="4"/>
  <c r="L131" i="4"/>
  <c r="M131" i="4"/>
  <c r="B131" i="4"/>
  <c r="F130" i="8"/>
  <c r="F132" i="8" s="1"/>
  <c r="H130" i="8"/>
  <c r="H132" i="8" s="1"/>
  <c r="I130" i="8"/>
  <c r="I132" i="8" s="1"/>
  <c r="J130" i="8"/>
  <c r="K130" i="8"/>
  <c r="M130" i="8"/>
  <c r="O41" i="2"/>
  <c r="C131" i="8"/>
  <c r="D131" i="8"/>
  <c r="E131" i="8"/>
  <c r="F131" i="8"/>
  <c r="G131" i="8"/>
  <c r="H131" i="8"/>
  <c r="I131" i="8"/>
  <c r="J131" i="8"/>
  <c r="K131" i="8"/>
  <c r="L131" i="8"/>
  <c r="M131" i="8"/>
  <c r="B131" i="8"/>
  <c r="C130" i="8"/>
  <c r="D130" i="8"/>
  <c r="D132" i="8" s="1"/>
  <c r="E130" i="8"/>
  <c r="E132" i="8" s="1"/>
  <c r="G130" i="8"/>
  <c r="L130" i="8"/>
  <c r="B130" i="8"/>
  <c r="B132" i="8" s="1"/>
  <c r="P119" i="8"/>
  <c r="O119" i="8"/>
  <c r="O117" i="8"/>
  <c r="O96" i="8"/>
  <c r="I89" i="5"/>
  <c r="C89" i="5"/>
  <c r="I80" i="5"/>
  <c r="C80" i="5"/>
  <c r="O94" i="2"/>
  <c r="P105" i="2"/>
  <c r="P96" i="8" s="1"/>
  <c r="O105" i="2"/>
  <c r="O98" i="2"/>
  <c r="P98" i="2"/>
  <c r="P95" i="2"/>
  <c r="P86" i="8" s="1"/>
  <c r="O95" i="2"/>
  <c r="O86" i="8" s="1"/>
  <c r="P94" i="2"/>
  <c r="O90" i="2"/>
  <c r="P90" i="2"/>
  <c r="O73" i="2"/>
  <c r="O65" i="8" s="1"/>
  <c r="P73" i="2"/>
  <c r="P65" i="8" s="1"/>
  <c r="P98" i="4"/>
  <c r="O98" i="4"/>
  <c r="P91" i="4"/>
  <c r="O91" i="4"/>
  <c r="P70" i="4"/>
  <c r="P131" i="4" s="1"/>
  <c r="O70" i="4"/>
  <c r="O131" i="4" s="1"/>
  <c r="P24" i="4"/>
  <c r="O24" i="4"/>
  <c r="P23" i="4"/>
  <c r="O23" i="4"/>
  <c r="P22" i="4"/>
  <c r="O22" i="4"/>
  <c r="P21" i="4"/>
  <c r="O21" i="4"/>
  <c r="P20" i="4"/>
  <c r="P130" i="4" s="1"/>
  <c r="O20" i="4"/>
  <c r="O130" i="4" s="1"/>
  <c r="P139" i="2"/>
  <c r="O139" i="2"/>
  <c r="P137" i="2"/>
  <c r="O137" i="2"/>
  <c r="P136" i="2"/>
  <c r="O136" i="2"/>
  <c r="Q133" i="2"/>
  <c r="P131" i="2"/>
  <c r="P118" i="8" s="1"/>
  <c r="O131" i="2"/>
  <c r="O118" i="8" s="1"/>
  <c r="P130" i="2"/>
  <c r="P117" i="8" s="1"/>
  <c r="P108" i="2"/>
  <c r="P109" i="2" s="1"/>
  <c r="O108" i="2"/>
  <c r="O109" i="2" s="1"/>
  <c r="P100" i="2"/>
  <c r="O100" i="2"/>
  <c r="P78" i="2"/>
  <c r="O78" i="2"/>
  <c r="P57" i="2"/>
  <c r="P59" i="2" s="1"/>
  <c r="O57" i="2"/>
  <c r="O59" i="2" s="1"/>
  <c r="C138" i="2"/>
  <c r="D138" i="2"/>
  <c r="E138" i="2"/>
  <c r="F138" i="2"/>
  <c r="G138" i="2"/>
  <c r="H138" i="2"/>
  <c r="I138" i="2"/>
  <c r="J138" i="2"/>
  <c r="K138" i="2"/>
  <c r="L138" i="2"/>
  <c r="M138" i="2"/>
  <c r="C139" i="2"/>
  <c r="D139" i="2"/>
  <c r="E139" i="2"/>
  <c r="F139" i="2"/>
  <c r="G139" i="2"/>
  <c r="H139" i="2"/>
  <c r="I139" i="2"/>
  <c r="J139" i="2"/>
  <c r="K139" i="2"/>
  <c r="L139" i="2"/>
  <c r="M139" i="2"/>
  <c r="B138" i="2"/>
  <c r="B139" i="2"/>
  <c r="C123" i="3"/>
  <c r="C137" i="2" s="1"/>
  <c r="D123" i="3"/>
  <c r="D137" i="2" s="1"/>
  <c r="E123" i="3"/>
  <c r="E137" i="2" s="1"/>
  <c r="F123" i="3"/>
  <c r="F137" i="2" s="1"/>
  <c r="G123" i="3"/>
  <c r="G137" i="2" s="1"/>
  <c r="H123" i="3"/>
  <c r="H137" i="2" s="1"/>
  <c r="I123" i="3"/>
  <c r="I137" i="2" s="1"/>
  <c r="J123" i="3"/>
  <c r="J137" i="2" s="1"/>
  <c r="K123" i="3"/>
  <c r="K137" i="2" s="1"/>
  <c r="L123" i="3"/>
  <c r="L137" i="2" s="1"/>
  <c r="M123" i="3"/>
  <c r="M137" i="2" s="1"/>
  <c r="B123" i="3"/>
  <c r="B137" i="2" s="1"/>
  <c r="C122" i="3"/>
  <c r="C136" i="2" s="1"/>
  <c r="D122" i="3"/>
  <c r="D136" i="2" s="1"/>
  <c r="E122" i="3"/>
  <c r="E136" i="2" s="1"/>
  <c r="F122" i="3"/>
  <c r="F136" i="2" s="1"/>
  <c r="G122" i="3"/>
  <c r="G136" i="2" s="1"/>
  <c r="H122" i="3"/>
  <c r="H136" i="2" s="1"/>
  <c r="I122" i="3"/>
  <c r="I136" i="2" s="1"/>
  <c r="J122" i="3"/>
  <c r="J136" i="2" s="1"/>
  <c r="K122" i="3"/>
  <c r="K136" i="2" s="1"/>
  <c r="L122" i="3"/>
  <c r="L136" i="2" s="1"/>
  <c r="M122" i="3"/>
  <c r="M136" i="2" s="1"/>
  <c r="D49" i="2"/>
  <c r="B45" i="3"/>
  <c r="B122" i="3" s="1"/>
  <c r="B136" i="2" s="1"/>
  <c r="B49" i="2"/>
  <c r="C49" i="2"/>
  <c r="P49" i="2"/>
  <c r="O49" i="2"/>
  <c r="P48" i="2"/>
  <c r="O48" i="2"/>
  <c r="M51" i="3"/>
  <c r="L51" i="3"/>
  <c r="K51" i="3"/>
  <c r="J51" i="3"/>
  <c r="I51" i="3"/>
  <c r="H51" i="3"/>
  <c r="G51" i="3"/>
  <c r="F51" i="3"/>
  <c r="E51" i="3"/>
  <c r="D51" i="3"/>
  <c r="C51" i="3"/>
  <c r="B51" i="3"/>
  <c r="F44" i="3"/>
  <c r="E44" i="3"/>
  <c r="D44" i="3"/>
  <c r="O134" i="2" l="1"/>
  <c r="O141" i="2"/>
  <c r="C132" i="8"/>
  <c r="P141" i="2"/>
  <c r="L132" i="8"/>
  <c r="J132" i="8"/>
  <c r="P131" i="8"/>
  <c r="O131" i="8"/>
  <c r="P134" i="2"/>
  <c r="M132" i="8"/>
  <c r="D132" i="4"/>
  <c r="G132" i="8"/>
  <c r="E132" i="4"/>
  <c r="C132" i="4"/>
  <c r="K132" i="8"/>
  <c r="O132" i="4"/>
  <c r="P132" i="4"/>
  <c r="M47" i="2" l="1"/>
  <c r="L47" i="2"/>
  <c r="K47" i="2"/>
  <c r="J47" i="2"/>
  <c r="I47" i="2"/>
  <c r="H47" i="2"/>
  <c r="G47" i="2"/>
  <c r="F47" i="2"/>
  <c r="E47" i="2"/>
  <c r="D47" i="2"/>
  <c r="C47" i="2"/>
  <c r="B47" i="2"/>
  <c r="P47" i="2"/>
  <c r="P54" i="2" s="1"/>
  <c r="O47" i="2"/>
  <c r="O54" i="2" s="1"/>
  <c r="M36" i="3"/>
  <c r="L36" i="3"/>
  <c r="K36" i="3"/>
  <c r="J36" i="3"/>
  <c r="I36" i="3"/>
  <c r="H36" i="3"/>
  <c r="G36" i="3"/>
  <c r="F36" i="3"/>
  <c r="E36" i="3"/>
  <c r="D36" i="3"/>
  <c r="C36" i="3"/>
  <c r="B36" i="3"/>
  <c r="Q43" i="2"/>
  <c r="P42" i="2"/>
  <c r="O42" i="2"/>
  <c r="P41" i="2"/>
  <c r="P40" i="2"/>
  <c r="O40" i="2"/>
  <c r="P38" i="2"/>
  <c r="O38" i="2"/>
  <c r="P39" i="2"/>
  <c r="O39" i="2"/>
  <c r="P36" i="2"/>
  <c r="O36" i="2"/>
  <c r="O35" i="2"/>
  <c r="P35" i="2"/>
  <c r="P34" i="2"/>
  <c r="O34" i="2"/>
  <c r="O32" i="2"/>
  <c r="P32" i="2"/>
  <c r="P31" i="2"/>
  <c r="O31" i="2"/>
  <c r="P30" i="2"/>
  <c r="O30" i="2"/>
  <c r="P29" i="2"/>
  <c r="O29" i="2"/>
  <c r="P26" i="2"/>
  <c r="O26" i="2"/>
  <c r="P25" i="2"/>
  <c r="O25" i="2"/>
  <c r="P24" i="2"/>
  <c r="O24" i="2"/>
  <c r="P23" i="2"/>
  <c r="P22" i="2"/>
  <c r="K85" i="5"/>
  <c r="N85" i="5" s="1"/>
  <c r="C130" i="5"/>
  <c r="D130" i="5"/>
  <c r="E130" i="5"/>
  <c r="F130" i="5"/>
  <c r="G130" i="5"/>
  <c r="H130" i="5"/>
  <c r="I130" i="5"/>
  <c r="J130" i="5"/>
  <c r="K130" i="5"/>
  <c r="L130" i="5"/>
  <c r="M130" i="5"/>
  <c r="B130" i="5"/>
  <c r="M24" i="4"/>
  <c r="M130" i="4" s="1"/>
  <c r="M132" i="4" s="1"/>
  <c r="L24" i="4"/>
  <c r="L130" i="4" s="1"/>
  <c r="L132" i="4" s="1"/>
  <c r="K24" i="4"/>
  <c r="K130" i="4" s="1"/>
  <c r="K132" i="4" s="1"/>
  <c r="J24" i="4"/>
  <c r="J130" i="4" s="1"/>
  <c r="J132" i="4" s="1"/>
  <c r="I24" i="4"/>
  <c r="I130" i="4" s="1"/>
  <c r="I132" i="4" s="1"/>
  <c r="H24" i="4"/>
  <c r="H130" i="4" s="1"/>
  <c r="H132" i="4" s="1"/>
  <c r="G24" i="4"/>
  <c r="G130" i="4" s="1"/>
  <c r="G132" i="4" s="1"/>
  <c r="F24" i="4"/>
  <c r="F130" i="4" s="1"/>
  <c r="F132" i="4" s="1"/>
  <c r="P27" i="2" l="1"/>
  <c r="O27" i="2"/>
  <c r="O44" i="2"/>
  <c r="P44" i="2"/>
  <c r="N47" i="2"/>
  <c r="Q47" i="2" s="1"/>
  <c r="O130" i="8"/>
  <c r="O132" i="8"/>
  <c r="P130" i="8"/>
  <c r="P132" i="8"/>
  <c r="N130" i="5"/>
  <c r="C130" i="2" l="1"/>
  <c r="D130" i="2"/>
  <c r="E130" i="2"/>
  <c r="F130" i="2"/>
  <c r="G130" i="2"/>
  <c r="H130" i="2"/>
  <c r="I130" i="2"/>
  <c r="J130" i="2"/>
  <c r="K130" i="2"/>
  <c r="L130" i="2"/>
  <c r="M130" i="2"/>
  <c r="C131" i="2"/>
  <c r="D131" i="2"/>
  <c r="E131" i="2"/>
  <c r="F131" i="2"/>
  <c r="G131" i="2"/>
  <c r="H131" i="2"/>
  <c r="I131" i="2"/>
  <c r="J131" i="2"/>
  <c r="K131" i="2"/>
  <c r="L131" i="2"/>
  <c r="M131" i="2"/>
  <c r="C132" i="2"/>
  <c r="D132" i="2"/>
  <c r="E132" i="2"/>
  <c r="F132" i="2"/>
  <c r="G132" i="2"/>
  <c r="H132" i="2"/>
  <c r="I132" i="2"/>
  <c r="J132" i="2"/>
  <c r="K132" i="2"/>
  <c r="L132" i="2"/>
  <c r="M132" i="2"/>
  <c r="B131" i="2"/>
  <c r="B132" i="2"/>
  <c r="B133" i="2"/>
  <c r="B130" i="2"/>
  <c r="C119" i="2"/>
  <c r="D119" i="2"/>
  <c r="E119" i="2"/>
  <c r="F119" i="2"/>
  <c r="G119" i="2"/>
  <c r="H119" i="2"/>
  <c r="I119" i="2"/>
  <c r="J119" i="2"/>
  <c r="K119" i="2"/>
  <c r="L119" i="2"/>
  <c r="M119" i="2"/>
  <c r="C120" i="2"/>
  <c r="D120" i="2"/>
  <c r="E120" i="2"/>
  <c r="F120" i="2"/>
  <c r="G120" i="2"/>
  <c r="H120" i="2"/>
  <c r="I120" i="2"/>
  <c r="J120" i="2"/>
  <c r="K120" i="2"/>
  <c r="L120" i="2"/>
  <c r="M120" i="2"/>
  <c r="C121" i="2"/>
  <c r="D121" i="2"/>
  <c r="E121" i="2"/>
  <c r="F121" i="2"/>
  <c r="G121" i="2"/>
  <c r="H121" i="2"/>
  <c r="I121" i="2"/>
  <c r="J121" i="2"/>
  <c r="K121" i="2"/>
  <c r="L121" i="2"/>
  <c r="M121" i="2"/>
  <c r="C122" i="2"/>
  <c r="D122" i="2"/>
  <c r="E122" i="2"/>
  <c r="F122" i="2"/>
  <c r="G122" i="2"/>
  <c r="H122" i="2"/>
  <c r="I122" i="2"/>
  <c r="J122" i="2"/>
  <c r="K122" i="2"/>
  <c r="L122" i="2"/>
  <c r="M122" i="2"/>
  <c r="C123" i="2"/>
  <c r="D123" i="2"/>
  <c r="E123" i="2"/>
  <c r="F123" i="2"/>
  <c r="G123" i="2"/>
  <c r="H123" i="2"/>
  <c r="I123" i="2"/>
  <c r="J123" i="2"/>
  <c r="K123" i="2"/>
  <c r="L123" i="2"/>
  <c r="M123" i="2"/>
  <c r="C124" i="2"/>
  <c r="D124" i="2"/>
  <c r="E124" i="2"/>
  <c r="F124" i="2"/>
  <c r="G124" i="2"/>
  <c r="H124" i="2"/>
  <c r="I124" i="2"/>
  <c r="J124" i="2"/>
  <c r="K124" i="2"/>
  <c r="L124" i="2"/>
  <c r="M124" i="2"/>
  <c r="C125" i="2"/>
  <c r="D125" i="2"/>
  <c r="E125" i="2"/>
  <c r="F125" i="2"/>
  <c r="G125" i="2"/>
  <c r="H125" i="2"/>
  <c r="I125" i="2"/>
  <c r="J125" i="2"/>
  <c r="K125" i="2"/>
  <c r="L125" i="2"/>
  <c r="M125" i="2"/>
  <c r="C126" i="2"/>
  <c r="D126" i="2"/>
  <c r="E126" i="2"/>
  <c r="F126" i="2"/>
  <c r="G126" i="2"/>
  <c r="H126" i="2"/>
  <c r="I126" i="2"/>
  <c r="J126" i="2"/>
  <c r="K126" i="2"/>
  <c r="L126" i="2"/>
  <c r="M126" i="2"/>
  <c r="C127" i="2"/>
  <c r="D127" i="2"/>
  <c r="E127" i="2"/>
  <c r="F127" i="2"/>
  <c r="G127" i="2"/>
  <c r="H127" i="2"/>
  <c r="I127" i="2"/>
  <c r="J127" i="2"/>
  <c r="K127" i="2"/>
  <c r="L127" i="2"/>
  <c r="M127" i="2"/>
  <c r="B120" i="2"/>
  <c r="B121" i="2"/>
  <c r="B122" i="2"/>
  <c r="B123" i="2"/>
  <c r="B124" i="2"/>
  <c r="B125" i="2"/>
  <c r="B126" i="2"/>
  <c r="B127" i="2"/>
  <c r="B119" i="2"/>
  <c r="C118" i="2"/>
  <c r="D118" i="2"/>
  <c r="E118" i="2"/>
  <c r="F118" i="2"/>
  <c r="G118" i="2"/>
  <c r="H118" i="2"/>
  <c r="I118" i="2"/>
  <c r="J118" i="2"/>
  <c r="K118" i="2"/>
  <c r="L118" i="2"/>
  <c r="M118" i="2"/>
  <c r="B118" i="2"/>
  <c r="C108" i="2"/>
  <c r="C109" i="2" s="1"/>
  <c r="D108" i="2"/>
  <c r="D109" i="2" s="1"/>
  <c r="E108" i="2"/>
  <c r="E109" i="2" s="1"/>
  <c r="F108" i="2"/>
  <c r="F109" i="2" s="1"/>
  <c r="G108" i="2"/>
  <c r="G109" i="2" s="1"/>
  <c r="H108" i="2"/>
  <c r="H109" i="2" s="1"/>
  <c r="I108" i="2"/>
  <c r="I109" i="2" s="1"/>
  <c r="J108" i="2"/>
  <c r="J109" i="2" s="1"/>
  <c r="K108" i="2"/>
  <c r="K109" i="2" s="1"/>
  <c r="L108" i="2"/>
  <c r="L109" i="2" s="1"/>
  <c r="M108" i="2"/>
  <c r="M109" i="2" s="1"/>
  <c r="B108" i="2"/>
  <c r="B109" i="2" s="1"/>
  <c r="B134" i="2" l="1"/>
  <c r="G128" i="2"/>
  <c r="E128" i="2"/>
  <c r="B128" i="2"/>
  <c r="F128" i="2"/>
  <c r="M128" i="2"/>
  <c r="L128" i="2"/>
  <c r="D128" i="2"/>
  <c r="K128" i="2"/>
  <c r="C128" i="2"/>
  <c r="J128" i="2"/>
  <c r="I128" i="2"/>
  <c r="H128" i="2"/>
  <c r="N109" i="2"/>
  <c r="N128" i="2" l="1"/>
  <c r="Q128" i="2" l="1"/>
  <c r="Q117" i="7" s="1"/>
  <c r="M32" i="2"/>
  <c r="M33" i="2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5" i="8"/>
  <c r="N114" i="8"/>
  <c r="N113" i="8"/>
  <c r="N112" i="8"/>
  <c r="N111" i="8"/>
  <c r="N110" i="8"/>
  <c r="N109" i="8"/>
  <c r="N108" i="8"/>
  <c r="N107" i="8"/>
  <c r="N106" i="8"/>
  <c r="N104" i="8"/>
  <c r="N103" i="8"/>
  <c r="N102" i="8"/>
  <c r="N101" i="8"/>
  <c r="N100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131" i="8" s="1"/>
  <c r="Q131" i="8" s="1"/>
  <c r="N64" i="8"/>
  <c r="N63" i="8"/>
  <c r="N62" i="8"/>
  <c r="N61" i="8"/>
  <c r="N60" i="8"/>
  <c r="N59" i="8"/>
  <c r="N58" i="8"/>
  <c r="N57" i="8"/>
  <c r="N56" i="8"/>
  <c r="N55" i="8"/>
  <c r="N54" i="8"/>
  <c r="N52" i="8"/>
  <c r="N51" i="8"/>
  <c r="N50" i="8"/>
  <c r="N49" i="8"/>
  <c r="N48" i="8"/>
  <c r="N47" i="8"/>
  <c r="N46" i="8"/>
  <c r="N45" i="8"/>
  <c r="N44" i="8"/>
  <c r="N43" i="8"/>
  <c r="N42" i="8"/>
  <c r="N40" i="8"/>
  <c r="N39" i="8"/>
  <c r="N36" i="8"/>
  <c r="N35" i="8"/>
  <c r="N34" i="8"/>
  <c r="N32" i="8"/>
  <c r="N31" i="8"/>
  <c r="N30" i="8"/>
  <c r="N28" i="8"/>
  <c r="N27" i="8"/>
  <c r="N26" i="8"/>
  <c r="N24" i="8"/>
  <c r="N23" i="8"/>
  <c r="N22" i="8"/>
  <c r="N21" i="8"/>
  <c r="N20" i="8"/>
  <c r="N18" i="8"/>
  <c r="N17" i="8"/>
  <c r="N16" i="8"/>
  <c r="N15" i="8"/>
  <c r="N14" i="8"/>
  <c r="N13" i="8"/>
  <c r="N12" i="8"/>
  <c r="N11" i="8"/>
  <c r="N10" i="8"/>
  <c r="N8" i="8"/>
  <c r="N7" i="8"/>
  <c r="N6" i="8"/>
  <c r="N5" i="8"/>
  <c r="N4" i="8"/>
  <c r="N2" i="8"/>
  <c r="N131" i="7"/>
  <c r="N130" i="7"/>
  <c r="N129" i="7"/>
  <c r="N128" i="7"/>
  <c r="N127" i="7"/>
  <c r="N126" i="7"/>
  <c r="N125" i="7"/>
  <c r="N124" i="7"/>
  <c r="N123" i="7"/>
  <c r="N122" i="7"/>
  <c r="N121" i="7"/>
  <c r="N120" i="7"/>
  <c r="N119" i="7"/>
  <c r="N118" i="7"/>
  <c r="N116" i="7"/>
  <c r="N115" i="7"/>
  <c r="N114" i="7"/>
  <c r="Q114" i="7" s="1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8" i="7"/>
  <c r="N17" i="7"/>
  <c r="Q17" i="7" s="1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3" i="7"/>
  <c r="N2" i="7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Q104" i="6" s="1"/>
  <c r="Q131" i="6" s="1"/>
  <c r="N103" i="6"/>
  <c r="N102" i="6"/>
  <c r="N101" i="6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Q8" i="6" s="1"/>
  <c r="Q130" i="6" s="1"/>
  <c r="N7" i="6"/>
  <c r="N6" i="6"/>
  <c r="N5" i="6"/>
  <c r="N4" i="6"/>
  <c r="N3" i="6"/>
  <c r="N2" i="6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3" i="5"/>
  <c r="N2" i="5"/>
  <c r="N129" i="4"/>
  <c r="N128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Q98" i="4" s="1"/>
  <c r="N97" i="4"/>
  <c r="N96" i="4"/>
  <c r="N95" i="4"/>
  <c r="N94" i="4"/>
  <c r="N93" i="4"/>
  <c r="N92" i="4"/>
  <c r="N91" i="4"/>
  <c r="Q91" i="4" s="1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Q24" i="4" s="1"/>
  <c r="N23" i="4"/>
  <c r="Q23" i="4" s="1"/>
  <c r="N22" i="4"/>
  <c r="Q22" i="4" s="1"/>
  <c r="N21" i="4"/>
  <c r="Q21" i="4" s="1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2" i="4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M145" i="2"/>
  <c r="L145" i="2"/>
  <c r="K145" i="2"/>
  <c r="J145" i="2"/>
  <c r="I145" i="2"/>
  <c r="H145" i="2"/>
  <c r="G145" i="2"/>
  <c r="F145" i="2"/>
  <c r="E145" i="2"/>
  <c r="D145" i="2"/>
  <c r="C145" i="2"/>
  <c r="B145" i="2"/>
  <c r="M144" i="2"/>
  <c r="L144" i="2"/>
  <c r="K144" i="2"/>
  <c r="J144" i="2"/>
  <c r="I144" i="2"/>
  <c r="H144" i="2"/>
  <c r="G144" i="2"/>
  <c r="F144" i="2"/>
  <c r="E144" i="2"/>
  <c r="D144" i="2"/>
  <c r="C144" i="2"/>
  <c r="B144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N139" i="2"/>
  <c r="Q139" i="2" s="1"/>
  <c r="N138" i="2"/>
  <c r="Q138" i="2" s="1"/>
  <c r="M133" i="2"/>
  <c r="M134" i="2" s="1"/>
  <c r="L133" i="2"/>
  <c r="L134" i="2" s="1"/>
  <c r="K133" i="2"/>
  <c r="K134" i="2" s="1"/>
  <c r="J133" i="2"/>
  <c r="J134" i="2" s="1"/>
  <c r="I133" i="2"/>
  <c r="I134" i="2" s="1"/>
  <c r="H133" i="2"/>
  <c r="H134" i="2" s="1"/>
  <c r="G133" i="2"/>
  <c r="G134" i="2" s="1"/>
  <c r="F133" i="2"/>
  <c r="F134" i="2" s="1"/>
  <c r="E133" i="2"/>
  <c r="E134" i="2" s="1"/>
  <c r="D133" i="2"/>
  <c r="D134" i="2" s="1"/>
  <c r="C133" i="2"/>
  <c r="C134" i="2" s="1"/>
  <c r="M105" i="2"/>
  <c r="L105" i="2"/>
  <c r="K105" i="2"/>
  <c r="J105" i="2"/>
  <c r="I105" i="2"/>
  <c r="H105" i="2"/>
  <c r="G105" i="2"/>
  <c r="F105" i="2"/>
  <c r="E105" i="2"/>
  <c r="D105" i="2"/>
  <c r="C105" i="2"/>
  <c r="B105" i="2"/>
  <c r="M104" i="2"/>
  <c r="L104" i="2"/>
  <c r="K104" i="2"/>
  <c r="J104" i="2"/>
  <c r="I104" i="2"/>
  <c r="H104" i="2"/>
  <c r="G104" i="2"/>
  <c r="F104" i="2"/>
  <c r="E104" i="2"/>
  <c r="D104" i="2"/>
  <c r="C104" i="2"/>
  <c r="B104" i="2"/>
  <c r="M103" i="2"/>
  <c r="L103" i="2"/>
  <c r="K103" i="2"/>
  <c r="J103" i="2"/>
  <c r="I103" i="2"/>
  <c r="H103" i="2"/>
  <c r="G103" i="2"/>
  <c r="F103" i="2"/>
  <c r="E103" i="2"/>
  <c r="D103" i="2"/>
  <c r="C103" i="2"/>
  <c r="B103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M101" i="2"/>
  <c r="L101" i="2"/>
  <c r="K101" i="2"/>
  <c r="J101" i="2"/>
  <c r="I101" i="2"/>
  <c r="H101" i="2"/>
  <c r="G101" i="2"/>
  <c r="F101" i="2"/>
  <c r="E101" i="2"/>
  <c r="D101" i="2"/>
  <c r="C101" i="2"/>
  <c r="B101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M99" i="2"/>
  <c r="L99" i="2"/>
  <c r="K99" i="2"/>
  <c r="J99" i="2"/>
  <c r="I99" i="2"/>
  <c r="H99" i="2"/>
  <c r="G99" i="2"/>
  <c r="F99" i="2"/>
  <c r="E99" i="2"/>
  <c r="D99" i="2"/>
  <c r="C99" i="2"/>
  <c r="B99" i="2"/>
  <c r="M98" i="2"/>
  <c r="L98" i="2"/>
  <c r="K98" i="2"/>
  <c r="J98" i="2"/>
  <c r="I98" i="2"/>
  <c r="H98" i="2"/>
  <c r="G98" i="2"/>
  <c r="F98" i="2"/>
  <c r="E98" i="2"/>
  <c r="D98" i="2"/>
  <c r="C98" i="2"/>
  <c r="B98" i="2"/>
  <c r="M97" i="2"/>
  <c r="L97" i="2"/>
  <c r="K97" i="2"/>
  <c r="J97" i="2"/>
  <c r="I97" i="2"/>
  <c r="H97" i="2"/>
  <c r="G97" i="2"/>
  <c r="F97" i="2"/>
  <c r="E97" i="2"/>
  <c r="D97" i="2"/>
  <c r="C97" i="2"/>
  <c r="M96" i="2"/>
  <c r="L96" i="2"/>
  <c r="K96" i="2"/>
  <c r="J96" i="2"/>
  <c r="I96" i="2"/>
  <c r="H96" i="2"/>
  <c r="G96" i="2"/>
  <c r="F96" i="2"/>
  <c r="E96" i="2"/>
  <c r="D96" i="2"/>
  <c r="C96" i="2"/>
  <c r="B96" i="2"/>
  <c r="M95" i="2"/>
  <c r="L95" i="2"/>
  <c r="K95" i="2"/>
  <c r="J95" i="2"/>
  <c r="I95" i="2"/>
  <c r="H95" i="2"/>
  <c r="G95" i="2"/>
  <c r="F95" i="2"/>
  <c r="E95" i="2"/>
  <c r="D95" i="2"/>
  <c r="C95" i="2"/>
  <c r="B95" i="2"/>
  <c r="M94" i="2"/>
  <c r="L94" i="2"/>
  <c r="K94" i="2"/>
  <c r="J94" i="2"/>
  <c r="I94" i="2"/>
  <c r="H94" i="2"/>
  <c r="G94" i="2"/>
  <c r="F94" i="2"/>
  <c r="E94" i="2"/>
  <c r="D94" i="2"/>
  <c r="C94" i="2"/>
  <c r="B94" i="2"/>
  <c r="M93" i="2"/>
  <c r="L93" i="2"/>
  <c r="K93" i="2"/>
  <c r="J93" i="2"/>
  <c r="I93" i="2"/>
  <c r="H93" i="2"/>
  <c r="G93" i="2"/>
  <c r="F93" i="2"/>
  <c r="E93" i="2"/>
  <c r="D93" i="2"/>
  <c r="C93" i="2"/>
  <c r="B93" i="2"/>
  <c r="M92" i="2"/>
  <c r="L92" i="2"/>
  <c r="K92" i="2"/>
  <c r="J92" i="2"/>
  <c r="I92" i="2"/>
  <c r="H92" i="2"/>
  <c r="G92" i="2"/>
  <c r="F92" i="2"/>
  <c r="E92" i="2"/>
  <c r="D92" i="2"/>
  <c r="C92" i="2"/>
  <c r="B92" i="2"/>
  <c r="M91" i="2"/>
  <c r="L91" i="2"/>
  <c r="K91" i="2"/>
  <c r="J91" i="2"/>
  <c r="I91" i="2"/>
  <c r="H91" i="2"/>
  <c r="G91" i="2"/>
  <c r="F91" i="2"/>
  <c r="E91" i="2"/>
  <c r="D91" i="2"/>
  <c r="C91" i="2"/>
  <c r="B91" i="2"/>
  <c r="M90" i="2"/>
  <c r="L90" i="2"/>
  <c r="K90" i="2"/>
  <c r="J90" i="2"/>
  <c r="I90" i="2"/>
  <c r="H90" i="2"/>
  <c r="G90" i="2"/>
  <c r="F90" i="2"/>
  <c r="E90" i="2"/>
  <c r="D90" i="2"/>
  <c r="C90" i="2"/>
  <c r="B90" i="2"/>
  <c r="M89" i="2"/>
  <c r="L89" i="2"/>
  <c r="K89" i="2"/>
  <c r="J89" i="2"/>
  <c r="I89" i="2"/>
  <c r="H89" i="2"/>
  <c r="G89" i="2"/>
  <c r="F89" i="2"/>
  <c r="E89" i="2"/>
  <c r="D89" i="2"/>
  <c r="C89" i="2"/>
  <c r="B89" i="2"/>
  <c r="M87" i="2"/>
  <c r="L87" i="2"/>
  <c r="K87" i="2"/>
  <c r="J87" i="2"/>
  <c r="I87" i="2"/>
  <c r="H87" i="2"/>
  <c r="G87" i="2"/>
  <c r="F87" i="2"/>
  <c r="E87" i="2"/>
  <c r="D87" i="2"/>
  <c r="C87" i="2"/>
  <c r="B87" i="2"/>
  <c r="M86" i="2"/>
  <c r="L86" i="2"/>
  <c r="K86" i="2"/>
  <c r="J86" i="2"/>
  <c r="I86" i="2"/>
  <c r="H86" i="2"/>
  <c r="G86" i="2"/>
  <c r="F86" i="2"/>
  <c r="E86" i="2"/>
  <c r="D86" i="2"/>
  <c r="C86" i="2"/>
  <c r="B86" i="2"/>
  <c r="M85" i="2"/>
  <c r="L85" i="2"/>
  <c r="K85" i="2"/>
  <c r="J85" i="2"/>
  <c r="I85" i="2"/>
  <c r="H85" i="2"/>
  <c r="G85" i="2"/>
  <c r="F85" i="2"/>
  <c r="E85" i="2"/>
  <c r="D85" i="2"/>
  <c r="C85" i="2"/>
  <c r="B85" i="2"/>
  <c r="M84" i="2"/>
  <c r="L84" i="2"/>
  <c r="K84" i="2"/>
  <c r="J84" i="2"/>
  <c r="I84" i="2"/>
  <c r="H84" i="2"/>
  <c r="G84" i="2"/>
  <c r="F84" i="2"/>
  <c r="E84" i="2"/>
  <c r="D84" i="2"/>
  <c r="C84" i="2"/>
  <c r="B84" i="2"/>
  <c r="M83" i="2"/>
  <c r="L83" i="2"/>
  <c r="K83" i="2"/>
  <c r="J83" i="2"/>
  <c r="I83" i="2"/>
  <c r="H83" i="2"/>
  <c r="G83" i="2"/>
  <c r="F83" i="2"/>
  <c r="E83" i="2"/>
  <c r="D83" i="2"/>
  <c r="C83" i="2"/>
  <c r="B83" i="2"/>
  <c r="M82" i="2"/>
  <c r="L82" i="2"/>
  <c r="K82" i="2"/>
  <c r="J82" i="2"/>
  <c r="I82" i="2"/>
  <c r="H82" i="2"/>
  <c r="G82" i="2"/>
  <c r="F82" i="2"/>
  <c r="E82" i="2"/>
  <c r="D82" i="2"/>
  <c r="C82" i="2"/>
  <c r="B82" i="2"/>
  <c r="M80" i="2"/>
  <c r="L80" i="2"/>
  <c r="K80" i="2"/>
  <c r="J80" i="2"/>
  <c r="I80" i="2"/>
  <c r="H80" i="2"/>
  <c r="G80" i="2"/>
  <c r="F80" i="2"/>
  <c r="E80" i="2"/>
  <c r="D80" i="2"/>
  <c r="C80" i="2"/>
  <c r="B80" i="2"/>
  <c r="M79" i="2"/>
  <c r="L79" i="2"/>
  <c r="K79" i="2"/>
  <c r="J79" i="2"/>
  <c r="I79" i="2"/>
  <c r="H79" i="2"/>
  <c r="G79" i="2"/>
  <c r="F79" i="2"/>
  <c r="E79" i="2"/>
  <c r="D79" i="2"/>
  <c r="C79" i="2"/>
  <c r="B79" i="2"/>
  <c r="M78" i="2"/>
  <c r="L78" i="2"/>
  <c r="K78" i="2"/>
  <c r="J78" i="2"/>
  <c r="I78" i="2"/>
  <c r="H78" i="2"/>
  <c r="G78" i="2"/>
  <c r="F78" i="2"/>
  <c r="E78" i="2"/>
  <c r="D78" i="2"/>
  <c r="C78" i="2"/>
  <c r="B78" i="2"/>
  <c r="M77" i="2"/>
  <c r="L77" i="2"/>
  <c r="K77" i="2"/>
  <c r="J77" i="2"/>
  <c r="I77" i="2"/>
  <c r="H77" i="2"/>
  <c r="G77" i="2"/>
  <c r="F77" i="2"/>
  <c r="E77" i="2"/>
  <c r="D77" i="2"/>
  <c r="C77" i="2"/>
  <c r="B77" i="2"/>
  <c r="M76" i="2"/>
  <c r="L76" i="2"/>
  <c r="K76" i="2"/>
  <c r="J76" i="2"/>
  <c r="I76" i="2"/>
  <c r="H76" i="2"/>
  <c r="G76" i="2"/>
  <c r="F76" i="2"/>
  <c r="E76" i="2"/>
  <c r="D76" i="2"/>
  <c r="C76" i="2"/>
  <c r="B76" i="2"/>
  <c r="M75" i="2"/>
  <c r="L75" i="2"/>
  <c r="K75" i="2"/>
  <c r="J75" i="2"/>
  <c r="I75" i="2"/>
  <c r="H75" i="2"/>
  <c r="G75" i="2"/>
  <c r="F75" i="2"/>
  <c r="E75" i="2"/>
  <c r="D75" i="2"/>
  <c r="C75" i="2"/>
  <c r="B75" i="2"/>
  <c r="M74" i="2"/>
  <c r="L74" i="2"/>
  <c r="K74" i="2"/>
  <c r="J74" i="2"/>
  <c r="I74" i="2"/>
  <c r="H74" i="2"/>
  <c r="G74" i="2"/>
  <c r="F74" i="2"/>
  <c r="E74" i="2"/>
  <c r="D74" i="2"/>
  <c r="C74" i="2"/>
  <c r="B74" i="2"/>
  <c r="M73" i="2"/>
  <c r="L73" i="2"/>
  <c r="K73" i="2"/>
  <c r="J73" i="2"/>
  <c r="I73" i="2"/>
  <c r="H73" i="2"/>
  <c r="G73" i="2"/>
  <c r="F73" i="2"/>
  <c r="E73" i="2"/>
  <c r="D73" i="2"/>
  <c r="C73" i="2"/>
  <c r="B73" i="2"/>
  <c r="M72" i="2"/>
  <c r="L72" i="2"/>
  <c r="K72" i="2"/>
  <c r="J72" i="2"/>
  <c r="I72" i="2"/>
  <c r="H72" i="2"/>
  <c r="G72" i="2"/>
  <c r="F72" i="2"/>
  <c r="E72" i="2"/>
  <c r="D72" i="2"/>
  <c r="C72" i="2"/>
  <c r="B72" i="2"/>
  <c r="M71" i="2"/>
  <c r="L71" i="2"/>
  <c r="K71" i="2"/>
  <c r="J71" i="2"/>
  <c r="I71" i="2"/>
  <c r="H71" i="2"/>
  <c r="G71" i="2"/>
  <c r="F71" i="2"/>
  <c r="E71" i="2"/>
  <c r="D71" i="2"/>
  <c r="C71" i="2"/>
  <c r="B71" i="2"/>
  <c r="M70" i="2"/>
  <c r="L70" i="2"/>
  <c r="K70" i="2"/>
  <c r="J70" i="2"/>
  <c r="I70" i="2"/>
  <c r="H70" i="2"/>
  <c r="G70" i="2"/>
  <c r="F70" i="2"/>
  <c r="E70" i="2"/>
  <c r="D70" i="2"/>
  <c r="C70" i="2"/>
  <c r="B70" i="2"/>
  <c r="M69" i="2"/>
  <c r="L69" i="2"/>
  <c r="K69" i="2"/>
  <c r="J69" i="2"/>
  <c r="I69" i="2"/>
  <c r="H69" i="2"/>
  <c r="G69" i="2"/>
  <c r="F69" i="2"/>
  <c r="E69" i="2"/>
  <c r="D69" i="2"/>
  <c r="C69" i="2"/>
  <c r="B69" i="2"/>
  <c r="M68" i="2"/>
  <c r="L68" i="2"/>
  <c r="K68" i="2"/>
  <c r="J68" i="2"/>
  <c r="I68" i="2"/>
  <c r="H68" i="2"/>
  <c r="G68" i="2"/>
  <c r="F68" i="2"/>
  <c r="E68" i="2"/>
  <c r="D68" i="2"/>
  <c r="C68" i="2"/>
  <c r="B68" i="2"/>
  <c r="M67" i="2"/>
  <c r="L67" i="2"/>
  <c r="K67" i="2"/>
  <c r="J67" i="2"/>
  <c r="I67" i="2"/>
  <c r="H67" i="2"/>
  <c r="G67" i="2"/>
  <c r="F67" i="2"/>
  <c r="E67" i="2"/>
  <c r="D67" i="2"/>
  <c r="C67" i="2"/>
  <c r="B67" i="2"/>
  <c r="M66" i="2"/>
  <c r="L66" i="2"/>
  <c r="K66" i="2"/>
  <c r="J66" i="2"/>
  <c r="I66" i="2"/>
  <c r="H66" i="2"/>
  <c r="G66" i="2"/>
  <c r="F66" i="2"/>
  <c r="E66" i="2"/>
  <c r="D66" i="2"/>
  <c r="C66" i="2"/>
  <c r="B66" i="2"/>
  <c r="M65" i="2"/>
  <c r="L65" i="2"/>
  <c r="K65" i="2"/>
  <c r="J65" i="2"/>
  <c r="I65" i="2"/>
  <c r="H65" i="2"/>
  <c r="G65" i="2"/>
  <c r="F65" i="2"/>
  <c r="E65" i="2"/>
  <c r="D65" i="2"/>
  <c r="C65" i="2"/>
  <c r="B65" i="2"/>
  <c r="M64" i="2"/>
  <c r="L64" i="2"/>
  <c r="K64" i="2"/>
  <c r="J64" i="2"/>
  <c r="I64" i="2"/>
  <c r="H64" i="2"/>
  <c r="G64" i="2"/>
  <c r="F64" i="2"/>
  <c r="E64" i="2"/>
  <c r="D64" i="2"/>
  <c r="C64" i="2"/>
  <c r="B64" i="2"/>
  <c r="M63" i="2"/>
  <c r="L63" i="2"/>
  <c r="K63" i="2"/>
  <c r="J63" i="2"/>
  <c r="I63" i="2"/>
  <c r="H63" i="2"/>
  <c r="G63" i="2"/>
  <c r="F63" i="2"/>
  <c r="E63" i="2"/>
  <c r="D63" i="2"/>
  <c r="C63" i="2"/>
  <c r="B63" i="2"/>
  <c r="M62" i="2"/>
  <c r="L62" i="2"/>
  <c r="K62" i="2"/>
  <c r="J62" i="2"/>
  <c r="I62" i="2"/>
  <c r="H62" i="2"/>
  <c r="G62" i="2"/>
  <c r="F62" i="2"/>
  <c r="E62" i="2"/>
  <c r="D62" i="2"/>
  <c r="C62" i="2"/>
  <c r="B62" i="2"/>
  <c r="M58" i="2"/>
  <c r="L58" i="2"/>
  <c r="K58" i="2"/>
  <c r="J58" i="2"/>
  <c r="I58" i="2"/>
  <c r="H58" i="2"/>
  <c r="G58" i="2"/>
  <c r="F58" i="2"/>
  <c r="E58" i="2"/>
  <c r="D58" i="2"/>
  <c r="C58" i="2"/>
  <c r="B58" i="2"/>
  <c r="M57" i="2"/>
  <c r="L57" i="2"/>
  <c r="K57" i="2"/>
  <c r="J57" i="2"/>
  <c r="I57" i="2"/>
  <c r="H57" i="2"/>
  <c r="G57" i="2"/>
  <c r="F57" i="2"/>
  <c r="E57" i="2"/>
  <c r="D57" i="2"/>
  <c r="C57" i="2"/>
  <c r="B57" i="2"/>
  <c r="M53" i="2"/>
  <c r="L53" i="2"/>
  <c r="K53" i="2"/>
  <c r="J53" i="2"/>
  <c r="I53" i="2"/>
  <c r="H53" i="2"/>
  <c r="G53" i="2"/>
  <c r="F53" i="2"/>
  <c r="E53" i="2"/>
  <c r="D53" i="2"/>
  <c r="C53" i="2"/>
  <c r="B53" i="2"/>
  <c r="M52" i="2"/>
  <c r="L52" i="2"/>
  <c r="K52" i="2"/>
  <c r="J52" i="2"/>
  <c r="I52" i="2"/>
  <c r="H52" i="2"/>
  <c r="G52" i="2"/>
  <c r="F52" i="2"/>
  <c r="E52" i="2"/>
  <c r="D52" i="2"/>
  <c r="C52" i="2"/>
  <c r="B52" i="2"/>
  <c r="M51" i="2"/>
  <c r="L51" i="2"/>
  <c r="K51" i="2"/>
  <c r="J51" i="2"/>
  <c r="I51" i="2"/>
  <c r="H51" i="2"/>
  <c r="G51" i="2"/>
  <c r="F51" i="2"/>
  <c r="E51" i="2"/>
  <c r="D51" i="2"/>
  <c r="C51" i="2"/>
  <c r="B51" i="2"/>
  <c r="M50" i="2"/>
  <c r="L50" i="2"/>
  <c r="K50" i="2"/>
  <c r="J50" i="2"/>
  <c r="I50" i="2"/>
  <c r="H50" i="2"/>
  <c r="G50" i="2"/>
  <c r="F50" i="2"/>
  <c r="E50" i="2"/>
  <c r="D50" i="2"/>
  <c r="C50" i="2"/>
  <c r="B50" i="2"/>
  <c r="M49" i="2"/>
  <c r="L49" i="2"/>
  <c r="K49" i="2"/>
  <c r="J49" i="2"/>
  <c r="I49" i="2"/>
  <c r="H49" i="2"/>
  <c r="G49" i="2"/>
  <c r="F49" i="2"/>
  <c r="E49" i="2"/>
  <c r="M48" i="2"/>
  <c r="L48" i="2"/>
  <c r="K48" i="2"/>
  <c r="J48" i="2"/>
  <c r="I48" i="2"/>
  <c r="H48" i="2"/>
  <c r="G48" i="2"/>
  <c r="F48" i="2"/>
  <c r="E48" i="2"/>
  <c r="D48" i="2"/>
  <c r="C48" i="2"/>
  <c r="B48" i="2"/>
  <c r="M45" i="2"/>
  <c r="L45" i="2"/>
  <c r="K45" i="2"/>
  <c r="J45" i="2"/>
  <c r="I45" i="2"/>
  <c r="H45" i="2"/>
  <c r="G45" i="2"/>
  <c r="F45" i="2"/>
  <c r="E45" i="2"/>
  <c r="D45" i="2"/>
  <c r="C45" i="2"/>
  <c r="B45" i="2"/>
  <c r="M43" i="2"/>
  <c r="L43" i="2"/>
  <c r="K43" i="2"/>
  <c r="J43" i="2"/>
  <c r="I43" i="2"/>
  <c r="H43" i="2"/>
  <c r="G43" i="2"/>
  <c r="F43" i="2"/>
  <c r="E43" i="2"/>
  <c r="D43" i="2"/>
  <c r="C43" i="2"/>
  <c r="B43" i="2"/>
  <c r="M42" i="2"/>
  <c r="L42" i="2"/>
  <c r="K42" i="2"/>
  <c r="J42" i="2"/>
  <c r="I42" i="2"/>
  <c r="H42" i="2"/>
  <c r="G42" i="2"/>
  <c r="F42" i="2"/>
  <c r="E42" i="2"/>
  <c r="D42" i="2"/>
  <c r="C42" i="2"/>
  <c r="B42" i="2"/>
  <c r="M41" i="2"/>
  <c r="L41" i="2"/>
  <c r="K41" i="2"/>
  <c r="J41" i="2"/>
  <c r="I41" i="2"/>
  <c r="H41" i="2"/>
  <c r="G41" i="2"/>
  <c r="F41" i="2"/>
  <c r="E41" i="2"/>
  <c r="D41" i="2"/>
  <c r="C41" i="2"/>
  <c r="B41" i="2"/>
  <c r="M40" i="2"/>
  <c r="L40" i="2"/>
  <c r="K40" i="2"/>
  <c r="J40" i="2"/>
  <c r="I40" i="2"/>
  <c r="H40" i="2"/>
  <c r="G40" i="2"/>
  <c r="F40" i="2"/>
  <c r="E40" i="2"/>
  <c r="D40" i="2"/>
  <c r="C40" i="2"/>
  <c r="B40" i="2"/>
  <c r="M39" i="2"/>
  <c r="L39" i="2"/>
  <c r="K39" i="2"/>
  <c r="J39" i="2"/>
  <c r="I39" i="2"/>
  <c r="H39" i="2"/>
  <c r="G39" i="2"/>
  <c r="F39" i="2"/>
  <c r="E39" i="2"/>
  <c r="D39" i="2"/>
  <c r="C39" i="2"/>
  <c r="B39" i="2"/>
  <c r="M38" i="2"/>
  <c r="L38" i="2"/>
  <c r="K38" i="2"/>
  <c r="J38" i="2"/>
  <c r="I38" i="2"/>
  <c r="H38" i="2"/>
  <c r="G38" i="2"/>
  <c r="F38" i="2"/>
  <c r="E38" i="2"/>
  <c r="D38" i="2"/>
  <c r="C38" i="2"/>
  <c r="B38" i="2"/>
  <c r="M37" i="2"/>
  <c r="L37" i="2"/>
  <c r="K37" i="2"/>
  <c r="J37" i="2"/>
  <c r="I37" i="2"/>
  <c r="H37" i="2"/>
  <c r="G37" i="2"/>
  <c r="F37" i="2"/>
  <c r="E37" i="2"/>
  <c r="D37" i="2"/>
  <c r="C37" i="2"/>
  <c r="B37" i="2"/>
  <c r="M36" i="2"/>
  <c r="L36" i="2"/>
  <c r="K36" i="2"/>
  <c r="J36" i="2"/>
  <c r="I36" i="2"/>
  <c r="H36" i="2"/>
  <c r="G36" i="2"/>
  <c r="F36" i="2"/>
  <c r="E36" i="2"/>
  <c r="D36" i="2"/>
  <c r="C36" i="2"/>
  <c r="B36" i="2"/>
  <c r="M35" i="2"/>
  <c r="L35" i="2"/>
  <c r="K35" i="2"/>
  <c r="J35" i="2"/>
  <c r="I35" i="2"/>
  <c r="H35" i="2"/>
  <c r="G35" i="2"/>
  <c r="F35" i="2"/>
  <c r="E35" i="2"/>
  <c r="D35" i="2"/>
  <c r="C35" i="2"/>
  <c r="B35" i="2"/>
  <c r="M34" i="2"/>
  <c r="L34" i="2"/>
  <c r="K34" i="2"/>
  <c r="J34" i="2"/>
  <c r="I34" i="2"/>
  <c r="H34" i="2"/>
  <c r="G34" i="2"/>
  <c r="F34" i="2"/>
  <c r="E34" i="2"/>
  <c r="D34" i="2"/>
  <c r="C34" i="2"/>
  <c r="B34" i="2"/>
  <c r="L33" i="2"/>
  <c r="K33" i="2"/>
  <c r="J33" i="2"/>
  <c r="I33" i="2"/>
  <c r="H33" i="2"/>
  <c r="G33" i="2"/>
  <c r="F33" i="2"/>
  <c r="E33" i="2"/>
  <c r="D33" i="2"/>
  <c r="C33" i="2"/>
  <c r="B33" i="2"/>
  <c r="L32" i="2"/>
  <c r="K32" i="2"/>
  <c r="J32" i="2"/>
  <c r="I32" i="2"/>
  <c r="H32" i="2"/>
  <c r="G32" i="2"/>
  <c r="F32" i="2"/>
  <c r="E32" i="2"/>
  <c r="D32" i="2"/>
  <c r="C32" i="2"/>
  <c r="B32" i="2"/>
  <c r="M31" i="2"/>
  <c r="L31" i="2"/>
  <c r="K31" i="2"/>
  <c r="J31" i="2"/>
  <c r="I31" i="2"/>
  <c r="H31" i="2"/>
  <c r="G31" i="2"/>
  <c r="F31" i="2"/>
  <c r="E31" i="2"/>
  <c r="D31" i="2"/>
  <c r="C31" i="2"/>
  <c r="B31" i="2"/>
  <c r="M30" i="2"/>
  <c r="L30" i="2"/>
  <c r="K30" i="2"/>
  <c r="J30" i="2"/>
  <c r="I30" i="2"/>
  <c r="H30" i="2"/>
  <c r="G30" i="2"/>
  <c r="F30" i="2"/>
  <c r="E30" i="2"/>
  <c r="D30" i="2"/>
  <c r="C30" i="2"/>
  <c r="B30" i="2"/>
  <c r="M29" i="2"/>
  <c r="L29" i="2"/>
  <c r="K29" i="2"/>
  <c r="J29" i="2"/>
  <c r="I29" i="2"/>
  <c r="H29" i="2"/>
  <c r="G29" i="2"/>
  <c r="F29" i="2"/>
  <c r="E29" i="2"/>
  <c r="D29" i="2"/>
  <c r="C29" i="2"/>
  <c r="B29" i="2"/>
  <c r="M26" i="2"/>
  <c r="L26" i="2"/>
  <c r="K26" i="2"/>
  <c r="J26" i="2"/>
  <c r="I26" i="2"/>
  <c r="H26" i="2"/>
  <c r="G26" i="2"/>
  <c r="F26" i="2"/>
  <c r="E26" i="2"/>
  <c r="D26" i="2"/>
  <c r="C26" i="2"/>
  <c r="B26" i="2"/>
  <c r="M25" i="2"/>
  <c r="L25" i="2"/>
  <c r="K25" i="2"/>
  <c r="J25" i="2"/>
  <c r="I25" i="2"/>
  <c r="H25" i="2"/>
  <c r="G25" i="2"/>
  <c r="F25" i="2"/>
  <c r="E25" i="2"/>
  <c r="D25" i="2"/>
  <c r="C25" i="2"/>
  <c r="B25" i="2"/>
  <c r="M24" i="2"/>
  <c r="L24" i="2"/>
  <c r="K24" i="2"/>
  <c r="J24" i="2"/>
  <c r="I24" i="2"/>
  <c r="H24" i="2"/>
  <c r="G24" i="2"/>
  <c r="F24" i="2"/>
  <c r="E24" i="2"/>
  <c r="D24" i="2"/>
  <c r="C24" i="2"/>
  <c r="B24" i="2"/>
  <c r="M23" i="2"/>
  <c r="L23" i="2"/>
  <c r="K23" i="2"/>
  <c r="J23" i="2"/>
  <c r="I23" i="2"/>
  <c r="H23" i="2"/>
  <c r="G23" i="2"/>
  <c r="F23" i="2"/>
  <c r="E23" i="2"/>
  <c r="D23" i="2"/>
  <c r="C23" i="2"/>
  <c r="B23" i="2"/>
  <c r="M22" i="2"/>
  <c r="L22" i="2"/>
  <c r="K22" i="2"/>
  <c r="J22" i="2"/>
  <c r="I22" i="2"/>
  <c r="H22" i="2"/>
  <c r="G22" i="2"/>
  <c r="F22" i="2"/>
  <c r="E22" i="2"/>
  <c r="D22" i="2"/>
  <c r="C22" i="2"/>
  <c r="B22" i="2"/>
  <c r="M19" i="2"/>
  <c r="L19" i="2"/>
  <c r="K19" i="2"/>
  <c r="J19" i="2"/>
  <c r="I19" i="2"/>
  <c r="H19" i="2"/>
  <c r="G19" i="2"/>
  <c r="F19" i="2"/>
  <c r="E19" i="2"/>
  <c r="D19" i="2"/>
  <c r="C19" i="2"/>
  <c r="B19" i="2"/>
  <c r="M18" i="2"/>
  <c r="L18" i="2"/>
  <c r="K18" i="2"/>
  <c r="J18" i="2"/>
  <c r="I18" i="2"/>
  <c r="H18" i="2"/>
  <c r="G18" i="2"/>
  <c r="F18" i="2"/>
  <c r="E18" i="2"/>
  <c r="D18" i="2"/>
  <c r="C18" i="2"/>
  <c r="B18" i="2"/>
  <c r="M17" i="2"/>
  <c r="L17" i="2"/>
  <c r="K17" i="2"/>
  <c r="J17" i="2"/>
  <c r="I17" i="2"/>
  <c r="H17" i="2"/>
  <c r="G17" i="2"/>
  <c r="F17" i="2"/>
  <c r="E17" i="2"/>
  <c r="D17" i="2"/>
  <c r="C17" i="2"/>
  <c r="B17" i="2"/>
  <c r="M16" i="2"/>
  <c r="L16" i="2"/>
  <c r="K16" i="2"/>
  <c r="J16" i="2"/>
  <c r="I16" i="2"/>
  <c r="H16" i="2"/>
  <c r="G16" i="2"/>
  <c r="F16" i="2"/>
  <c r="E16" i="2"/>
  <c r="D16" i="2"/>
  <c r="C16" i="2"/>
  <c r="B16" i="2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M2" i="2"/>
  <c r="L2" i="2"/>
  <c r="K2" i="2"/>
  <c r="J2" i="2"/>
  <c r="I2" i="2"/>
  <c r="H2" i="2"/>
  <c r="G2" i="2"/>
  <c r="F2" i="2"/>
  <c r="E2" i="2"/>
  <c r="D2" i="2"/>
  <c r="C2" i="2"/>
  <c r="B2" i="2"/>
  <c r="F5" i="1"/>
  <c r="E5" i="1"/>
  <c r="Q132" i="6" l="1"/>
  <c r="N131" i="6"/>
  <c r="N130" i="6"/>
  <c r="I88" i="2"/>
  <c r="N8" i="2"/>
  <c r="Q8" i="2" s="1"/>
  <c r="F116" i="2"/>
  <c r="N41" i="2"/>
  <c r="Q41" i="2" s="1"/>
  <c r="N62" i="2"/>
  <c r="N33" i="2"/>
  <c r="Q33" i="2" s="1"/>
  <c r="N50" i="2"/>
  <c r="N42" i="2"/>
  <c r="Q42" i="2" s="1"/>
  <c r="N17" i="2"/>
  <c r="Q17" i="2" s="1"/>
  <c r="Q16" i="7" s="1"/>
  <c r="N18" i="2"/>
  <c r="N36" i="2"/>
  <c r="Q36" i="2" s="1"/>
  <c r="N53" i="2"/>
  <c r="Q70" i="4"/>
  <c r="N131" i="4"/>
  <c r="N12" i="2"/>
  <c r="Q12" i="2" s="1"/>
  <c r="N51" i="2"/>
  <c r="Q20" i="4"/>
  <c r="N130" i="4"/>
  <c r="N40" i="2"/>
  <c r="Q40" i="2" s="1"/>
  <c r="N15" i="2"/>
  <c r="Q15" i="2" s="1"/>
  <c r="Q14" i="7" s="1"/>
  <c r="N35" i="2"/>
  <c r="Q35" i="2" s="1"/>
  <c r="N22" i="2"/>
  <c r="Q22" i="2" s="1"/>
  <c r="N25" i="2"/>
  <c r="Q25" i="2" s="1"/>
  <c r="N7" i="2"/>
  <c r="Q7" i="2" s="1"/>
  <c r="N16" i="2"/>
  <c r="Q16" i="2" s="1"/>
  <c r="Q15" i="7" s="1"/>
  <c r="N52" i="2"/>
  <c r="N49" i="2"/>
  <c r="Q49" i="2" s="1"/>
  <c r="N57" i="2"/>
  <c r="Q57" i="2" s="1"/>
  <c r="Q59" i="2" s="1"/>
  <c r="E116" i="2"/>
  <c r="C141" i="2"/>
  <c r="K141" i="2"/>
  <c r="N11" i="2"/>
  <c r="N19" i="2"/>
  <c r="Q19" i="2" s="1"/>
  <c r="Q18" i="7" s="1"/>
  <c r="N29" i="2"/>
  <c r="Q29" i="2" s="1"/>
  <c r="N37" i="2"/>
  <c r="Q37" i="2" s="1"/>
  <c r="N30" i="2"/>
  <c r="Q30" i="2" s="1"/>
  <c r="N38" i="2"/>
  <c r="Q38" i="2" s="1"/>
  <c r="N4" i="2"/>
  <c r="Q4" i="2" s="1"/>
  <c r="N24" i="2"/>
  <c r="Q24" i="2" s="1"/>
  <c r="N34" i="2"/>
  <c r="Q34" i="2" s="1"/>
  <c r="H59" i="2"/>
  <c r="B88" i="2"/>
  <c r="J88" i="2"/>
  <c r="J106" i="2" s="1"/>
  <c r="G116" i="2"/>
  <c r="D141" i="2"/>
  <c r="L141" i="2"/>
  <c r="C88" i="2"/>
  <c r="C106" i="2" s="1"/>
  <c r="K88" i="2"/>
  <c r="K106" i="2" s="1"/>
  <c r="H116" i="2"/>
  <c r="E141" i="2"/>
  <c r="M141" i="2"/>
  <c r="H88" i="2"/>
  <c r="H106" i="2" s="1"/>
  <c r="M116" i="2"/>
  <c r="E54" i="2"/>
  <c r="M54" i="2"/>
  <c r="F27" i="2"/>
  <c r="G9" i="2"/>
  <c r="B106" i="2"/>
  <c r="I59" i="2"/>
  <c r="N13" i="2"/>
  <c r="Q13" i="2" s="1"/>
  <c r="Q12" i="7" s="1"/>
  <c r="N31" i="2"/>
  <c r="Q31" i="2" s="1"/>
  <c r="N39" i="2"/>
  <c r="Q39" i="2" s="1"/>
  <c r="N48" i="2"/>
  <c r="Q48" i="2" s="1"/>
  <c r="N58" i="2"/>
  <c r="N5" i="2"/>
  <c r="Q5" i="2" s="1"/>
  <c r="N14" i="2"/>
  <c r="Q14" i="2" s="1"/>
  <c r="Q13" i="7" s="1"/>
  <c r="N23" i="2"/>
  <c r="Q23" i="2" s="1"/>
  <c r="N6" i="2"/>
  <c r="Q6" i="2" s="1"/>
  <c r="N26" i="2"/>
  <c r="Q26" i="2" s="1"/>
  <c r="G20" i="2"/>
  <c r="H27" i="2"/>
  <c r="B59" i="2"/>
  <c r="J59" i="2"/>
  <c r="D88" i="2"/>
  <c r="L88" i="2"/>
  <c r="L106" i="2" s="1"/>
  <c r="I116" i="2"/>
  <c r="F141" i="2"/>
  <c r="E20" i="2"/>
  <c r="E88" i="2"/>
  <c r="E106" i="2" s="1"/>
  <c r="M88" i="2"/>
  <c r="M106" i="2" s="1"/>
  <c r="B116" i="2"/>
  <c r="J116" i="2"/>
  <c r="N134" i="2"/>
  <c r="G141" i="2"/>
  <c r="I106" i="2"/>
  <c r="M20" i="2"/>
  <c r="H44" i="2"/>
  <c r="D59" i="2"/>
  <c r="L59" i="2"/>
  <c r="F88" i="2"/>
  <c r="F106" i="2" s="1"/>
  <c r="C116" i="2"/>
  <c r="K116" i="2"/>
  <c r="H141" i="2"/>
  <c r="H9" i="2"/>
  <c r="G88" i="2"/>
  <c r="G106" i="2" s="1"/>
  <c r="D116" i="2"/>
  <c r="L116" i="2"/>
  <c r="I141" i="2"/>
  <c r="B141" i="2"/>
  <c r="J141" i="2"/>
  <c r="F54" i="2"/>
  <c r="H54" i="2"/>
  <c r="C59" i="2"/>
  <c r="K59" i="2"/>
  <c r="I54" i="2"/>
  <c r="B54" i="2"/>
  <c r="J54" i="2"/>
  <c r="E59" i="2"/>
  <c r="M59" i="2"/>
  <c r="G54" i="2"/>
  <c r="C54" i="2"/>
  <c r="K54" i="2"/>
  <c r="F59" i="2"/>
  <c r="D54" i="2"/>
  <c r="L54" i="2"/>
  <c r="G59" i="2"/>
  <c r="F20" i="2"/>
  <c r="G27" i="2"/>
  <c r="I44" i="2"/>
  <c r="J44" i="2"/>
  <c r="H20" i="2"/>
  <c r="I27" i="2"/>
  <c r="C44" i="2"/>
  <c r="K44" i="2"/>
  <c r="B44" i="2"/>
  <c r="I20" i="2"/>
  <c r="B27" i="2"/>
  <c r="J27" i="2"/>
  <c r="D44" i="2"/>
  <c r="L44" i="2"/>
  <c r="J20" i="2"/>
  <c r="C27" i="2"/>
  <c r="M44" i="2"/>
  <c r="C20" i="2"/>
  <c r="K20" i="2"/>
  <c r="D27" i="2"/>
  <c r="L27" i="2"/>
  <c r="F44" i="2"/>
  <c r="B20" i="2"/>
  <c r="K27" i="2"/>
  <c r="E44" i="2"/>
  <c r="D20" i="2"/>
  <c r="L20" i="2"/>
  <c r="E27" i="2"/>
  <c r="M27" i="2"/>
  <c r="G44" i="2"/>
  <c r="I9" i="2"/>
  <c r="N64" i="2"/>
  <c r="N67" i="2"/>
  <c r="N68" i="2"/>
  <c r="N70" i="2"/>
  <c r="N75" i="2"/>
  <c r="N76" i="2"/>
  <c r="N78" i="2"/>
  <c r="Q78" i="2" s="1"/>
  <c r="N83" i="2"/>
  <c r="N84" i="2"/>
  <c r="N86" i="2"/>
  <c r="N92" i="2"/>
  <c r="N93" i="2"/>
  <c r="N95" i="2"/>
  <c r="Q95" i="2" s="1"/>
  <c r="Q86" i="8" s="1"/>
  <c r="F9" i="2"/>
  <c r="B9" i="2"/>
  <c r="J9" i="2"/>
  <c r="C9" i="2"/>
  <c r="K9" i="2"/>
  <c r="D9" i="2"/>
  <c r="L9" i="2"/>
  <c r="E9" i="2"/>
  <c r="M9" i="2"/>
  <c r="N111" i="2"/>
  <c r="Q111" i="2" s="1"/>
  <c r="N131" i="2"/>
  <c r="Q131" i="2" s="1"/>
  <c r="Q118" i="8" s="1"/>
  <c r="N144" i="2"/>
  <c r="N145" i="2"/>
  <c r="N66" i="2"/>
  <c r="N74" i="2"/>
  <c r="N82" i="2"/>
  <c r="N91" i="2"/>
  <c r="N99" i="2"/>
  <c r="N108" i="2"/>
  <c r="Q108" i="2" s="1"/>
  <c r="Q109" i="2" s="1"/>
  <c r="N120" i="2"/>
  <c r="Q120" i="2" s="1"/>
  <c r="Q109" i="7" s="1"/>
  <c r="N63" i="2"/>
  <c r="N97" i="2"/>
  <c r="N98" i="2"/>
  <c r="Q98" i="2" s="1"/>
  <c r="N100" i="2"/>
  <c r="Q100" i="2" s="1"/>
  <c r="N105" i="2"/>
  <c r="Q105" i="2" s="1"/>
  <c r="Q96" i="8" s="1"/>
  <c r="N118" i="2"/>
  <c r="Q118" i="2" s="1"/>
  <c r="Q107" i="7" s="1"/>
  <c r="N119" i="2"/>
  <c r="Q119" i="2" s="1"/>
  <c r="Q108" i="7" s="1"/>
  <c r="N121" i="2"/>
  <c r="Q121" i="2" s="1"/>
  <c r="Q110" i="7" s="1"/>
  <c r="N126" i="2"/>
  <c r="Q126" i="2" s="1"/>
  <c r="Q115" i="7" s="1"/>
  <c r="N127" i="2"/>
  <c r="Q127" i="2" s="1"/>
  <c r="Q116" i="7" s="1"/>
  <c r="N130" i="2"/>
  <c r="Q130" i="2" s="1"/>
  <c r="Q117" i="8" s="1"/>
  <c r="N65" i="2"/>
  <c r="N71" i="2"/>
  <c r="N72" i="2"/>
  <c r="N73" i="2"/>
  <c r="Q73" i="2" s="1"/>
  <c r="Q65" i="8" s="1"/>
  <c r="N79" i="2"/>
  <c r="N80" i="2"/>
  <c r="N87" i="2"/>
  <c r="N89" i="2"/>
  <c r="N90" i="2"/>
  <c r="Q90" i="2" s="1"/>
  <c r="N96" i="2"/>
  <c r="N140" i="2"/>
  <c r="N104" i="2"/>
  <c r="N125" i="2"/>
  <c r="Q125" i="2" s="1"/>
  <c r="N137" i="2"/>
  <c r="Q137" i="2" s="1"/>
  <c r="N142" i="2"/>
  <c r="N114" i="2"/>
  <c r="Q114" i="2" s="1"/>
  <c r="N69" i="2"/>
  <c r="N77" i="2"/>
  <c r="N85" i="2"/>
  <c r="N94" i="2"/>
  <c r="Q94" i="2" s="1"/>
  <c r="N101" i="2"/>
  <c r="N102" i="2"/>
  <c r="N103" i="2"/>
  <c r="N112" i="2"/>
  <c r="Q112" i="2" s="1"/>
  <c r="N113" i="2"/>
  <c r="Q113" i="2" s="1"/>
  <c r="N115" i="2"/>
  <c r="Q115" i="2" s="1"/>
  <c r="N122" i="2"/>
  <c r="Q122" i="2" s="1"/>
  <c r="Q111" i="7" s="1"/>
  <c r="N123" i="2"/>
  <c r="Q123" i="2" s="1"/>
  <c r="Q112" i="7" s="1"/>
  <c r="N124" i="2"/>
  <c r="Q124" i="2" s="1"/>
  <c r="Q113" i="7" s="1"/>
  <c r="N132" i="2"/>
  <c r="Q132" i="2" s="1"/>
  <c r="Q119" i="8" s="1"/>
  <c r="N136" i="2"/>
  <c r="Q136" i="2" s="1"/>
  <c r="N32" i="2"/>
  <c r="Q32" i="2" s="1"/>
  <c r="N132" i="6" l="1"/>
  <c r="Q20" i="2"/>
  <c r="Q11" i="7"/>
  <c r="N134" i="7"/>
  <c r="N132" i="4"/>
  <c r="Q132" i="4" s="1"/>
  <c r="N132" i="8"/>
  <c r="Q132" i="8" s="1"/>
  <c r="Q130" i="8"/>
  <c r="Q134" i="2"/>
  <c r="Q141" i="2"/>
  <c r="Q54" i="2"/>
  <c r="N27" i="2"/>
  <c r="Q27" i="2" s="1"/>
  <c r="N59" i="2"/>
  <c r="M143" i="2"/>
  <c r="K143" i="2"/>
  <c r="F143" i="2"/>
  <c r="E143" i="2"/>
  <c r="F55" i="2"/>
  <c r="F60" i="2" s="1"/>
  <c r="E55" i="2"/>
  <c r="E60" i="2" s="1"/>
  <c r="M55" i="2"/>
  <c r="M60" i="2" s="1"/>
  <c r="N88" i="2"/>
  <c r="G143" i="2"/>
  <c r="L143" i="2"/>
  <c r="K55" i="2"/>
  <c r="K60" i="2" s="1"/>
  <c r="J55" i="2"/>
  <c r="J60" i="2" s="1"/>
  <c r="I55" i="2"/>
  <c r="I60" i="2" s="1"/>
  <c r="G55" i="2"/>
  <c r="G60" i="2" s="1"/>
  <c r="H143" i="2"/>
  <c r="H55" i="2"/>
  <c r="H60" i="2" s="1"/>
  <c r="D106" i="2"/>
  <c r="D143" i="2" s="1"/>
  <c r="B55" i="2"/>
  <c r="N141" i="2"/>
  <c r="I143" i="2"/>
  <c r="C143" i="2"/>
  <c r="L55" i="2"/>
  <c r="L60" i="2" s="1"/>
  <c r="D55" i="2"/>
  <c r="D60" i="2" s="1"/>
  <c r="J143" i="2"/>
  <c r="C55" i="2"/>
  <c r="C60" i="2" s="1"/>
  <c r="N116" i="2"/>
  <c r="Q116" i="2" s="1"/>
  <c r="B143" i="2"/>
  <c r="N54" i="2"/>
  <c r="N20" i="2"/>
  <c r="N44" i="2"/>
  <c r="Q44" i="2" s="1"/>
  <c r="N9" i="2"/>
  <c r="Q9" i="2" s="1"/>
  <c r="H146" i="2" l="1"/>
  <c r="K146" i="2"/>
  <c r="M146" i="2"/>
  <c r="F146" i="2"/>
  <c r="E146" i="2"/>
  <c r="J146" i="2"/>
  <c r="I146" i="2"/>
  <c r="G146" i="2"/>
  <c r="L146" i="2"/>
  <c r="D146" i="2"/>
  <c r="C146" i="2"/>
  <c r="B60" i="2"/>
  <c r="N55" i="2"/>
  <c r="N143" i="2"/>
  <c r="N106" i="2"/>
  <c r="B146" i="2" l="1"/>
  <c r="N146" i="2" s="1"/>
  <c r="N60" i="2"/>
</calcChain>
</file>

<file path=xl/sharedStrings.xml><?xml version="1.0" encoding="utf-8"?>
<sst xmlns="http://schemas.openxmlformats.org/spreadsheetml/2006/main" count="1121" uniqueCount="238">
  <si>
    <t>Step 1.</t>
  </si>
  <si>
    <t>Find your department on the bottom tabs.</t>
  </si>
  <si>
    <t>Step 2.</t>
  </si>
  <si>
    <t>Input category specific data in the appropriate cells.</t>
  </si>
  <si>
    <t>Step 3.</t>
  </si>
  <si>
    <t>If your budget is already summed for the year, enter that amount in the cell labelled "Total" and then apply the approproate formula in the preceeding cells for each month.</t>
  </si>
  <si>
    <t>Accounts</t>
  </si>
  <si>
    <t>Oct</t>
  </si>
  <si>
    <t>Nov</t>
  </si>
  <si>
    <t>Dec</t>
  </si>
  <si>
    <t>Total</t>
  </si>
  <si>
    <t>Billable Expense Income</t>
  </si>
  <si>
    <t>"=G5/12"</t>
  </si>
  <si>
    <t>EXAMPLE ABOVE. THE YELLOW HIGHLIGHTED CELL HAS THE APPROPRIATE FORMULA. THE BLUE HIGHLIGHTED CELLS SHOW THE RESULT OF USING THE FORMULA.</t>
  </si>
  <si>
    <t>If your budget is already broken down monthly, enter those amounts under each category in the appropriate month.</t>
  </si>
  <si>
    <t>Step 4.</t>
  </si>
  <si>
    <t>Do not input data into any other tabs outside of your department.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</si>
  <si>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</si>
  <si>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</si>
  <si>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</si>
  <si>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</si>
  <si>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</si>
  <si>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</si>
  <si>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</si>
  <si>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</si>
  <si>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</si>
  <si>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Education Income</t>
  </si>
  <si>
    <t>Certification Revenue</t>
  </si>
  <si>
    <t>NAAEI Revenue</t>
  </si>
  <si>
    <t>PEP Revenue</t>
  </si>
  <si>
    <t>Redbook Class Revenue</t>
  </si>
  <si>
    <t>Seminar Revenue</t>
  </si>
  <si>
    <t>Event Income</t>
  </si>
  <si>
    <t>Business Exchange Revenue</t>
  </si>
  <si>
    <t>Casino Night Revenue</t>
  </si>
  <si>
    <t>Clay Shoot Revenue</t>
  </si>
  <si>
    <t>Cook Off Revenue</t>
  </si>
  <si>
    <t>Live2Lease Revenue</t>
  </si>
  <si>
    <t>Maintenance Mania Revenue</t>
  </si>
  <si>
    <t>Member Meeting Revenue</t>
  </si>
  <si>
    <t>SAAA Marketing Showcase</t>
  </si>
  <si>
    <t>Tradeshow Revenue</t>
  </si>
  <si>
    <t>Membership Dues</t>
  </si>
  <si>
    <t>Application Fees</t>
  </si>
  <si>
    <t>IRO DUES</t>
  </si>
  <si>
    <t>Owner/Member Dues</t>
  </si>
  <si>
    <t>Property Unit Dues</t>
  </si>
  <si>
    <t>Supplier Dues</t>
  </si>
  <si>
    <t>Other Income</t>
  </si>
  <si>
    <t>Billing Fees</t>
  </si>
  <si>
    <t>Compensation Survey Report</t>
  </si>
  <si>
    <t>Conf. Room Rental Revenue</t>
  </si>
  <si>
    <t>Directory / Advertising</t>
  </si>
  <si>
    <t>Directory Sales</t>
  </si>
  <si>
    <t>Education Royalties</t>
  </si>
  <si>
    <t>Interest Income</t>
  </si>
  <si>
    <t>Magazine / Advertising</t>
  </si>
  <si>
    <t>Member Credits</t>
  </si>
  <si>
    <t>Misc. Revenue</t>
  </si>
  <si>
    <t>TAA Click &amp; Lease Revenue Share</t>
  </si>
  <si>
    <t>Website Banner/Advertising</t>
  </si>
  <si>
    <t>Weekly News / Advertising</t>
  </si>
  <si>
    <t>Your Membership Career Center Royalties</t>
  </si>
  <si>
    <t>QuickBooks Payments Sales</t>
  </si>
  <si>
    <t>Sales</t>
  </si>
  <si>
    <t>Sales of Product Income</t>
  </si>
  <si>
    <t>Delivery Charges</t>
  </si>
  <si>
    <t>Redbook Product Revenue</t>
  </si>
  <si>
    <t>Taxable Form Sales</t>
  </si>
  <si>
    <t>Shipping Income</t>
  </si>
  <si>
    <t>Unapplied Cash Payment Income</t>
  </si>
  <si>
    <t>Uncategorized Income</t>
  </si>
  <si>
    <t>Cost of Directories Sold</t>
  </si>
  <si>
    <t>Cost of Goods Sold</t>
  </si>
  <si>
    <t>Cost of Redbooks Sold</t>
  </si>
  <si>
    <t>Inventory Shrinkage</t>
  </si>
  <si>
    <t>Administration Costs</t>
  </si>
  <si>
    <t>Accounting Fees</t>
  </si>
  <si>
    <t>Bank &amp; Merchant Fees</t>
  </si>
  <si>
    <t>Bldg Maint &amp; Janitorial Expens</t>
  </si>
  <si>
    <t>Bldg. &amp; Equipment Repairs</t>
  </si>
  <si>
    <t>Board of Directors Expense</t>
  </si>
  <si>
    <t>Building Expense</t>
  </si>
  <si>
    <t>Building Loan - Interest</t>
  </si>
  <si>
    <t>Business Tax Expense</t>
  </si>
  <si>
    <t>Computer / Technical Support</t>
  </si>
  <si>
    <t>Computer Maintenance</t>
  </si>
  <si>
    <t>D&amp;O Insurance</t>
  </si>
  <si>
    <t>Dues/Subsciptions</t>
  </si>
  <si>
    <t>Equipment Rental</t>
  </si>
  <si>
    <t>Interest Paid</t>
  </si>
  <si>
    <t>Leadership Lyceum/Training</t>
  </si>
  <si>
    <t>Legal/Professional</t>
  </si>
  <si>
    <t>NAA Membership Dues</t>
  </si>
  <si>
    <t>NAAEI Donation</t>
  </si>
  <si>
    <t>Office Supplies</t>
  </si>
  <si>
    <t>Payroll Expenses</t>
  </si>
  <si>
    <t>Employee Bonus</t>
  </si>
  <si>
    <t>Mileage/Parking Reimb.</t>
  </si>
  <si>
    <t>Other Personnel Costs</t>
  </si>
  <si>
    <t>Payroll Taxes</t>
  </si>
  <si>
    <t>Salaries</t>
  </si>
  <si>
    <t>TAA/NAA Staff Travel Expense</t>
  </si>
  <si>
    <t>Postage Expense</t>
  </si>
  <si>
    <t>Promotional &amp; Mktg. Exp.</t>
  </si>
  <si>
    <t>Property Taxes</t>
  </si>
  <si>
    <t>Property/Business Insurance</t>
  </si>
  <si>
    <t>PSC Mtgs &amp; Retreat</t>
  </si>
  <si>
    <t>Public Relations Exp.</t>
  </si>
  <si>
    <t>Software Licenses</t>
  </si>
  <si>
    <t>Staff Development Costs</t>
  </si>
  <si>
    <t>Strategic Planning Expenses</t>
  </si>
  <si>
    <t>Supplies &amp; Miscellaneous</t>
  </si>
  <si>
    <t>TAA Foundation Donation</t>
  </si>
  <si>
    <t>TAA Membership Dues</t>
  </si>
  <si>
    <t>TAA/NAA Delegate Travel Exp.</t>
  </si>
  <si>
    <t>Telephone Expense</t>
  </si>
  <si>
    <t>Train the Trainer</t>
  </si>
  <si>
    <t>Utilities Expense</t>
  </si>
  <si>
    <t>Web Site Support &amp; Development</t>
  </si>
  <si>
    <t>Dues Expense</t>
  </si>
  <si>
    <t>Member Cost</t>
  </si>
  <si>
    <t>Education Expenses</t>
  </si>
  <si>
    <t>Certification Cost</t>
  </si>
  <si>
    <t>NAAEI Costs</t>
  </si>
  <si>
    <t>PEP Cost</t>
  </si>
  <si>
    <t>Redbook Class Cost</t>
  </si>
  <si>
    <t>Seminar Cost</t>
  </si>
  <si>
    <t>Event Expenses</t>
  </si>
  <si>
    <t>Business Exchange Cost</t>
  </si>
  <si>
    <t>Casino Night Costs</t>
  </si>
  <si>
    <t>Cook Off Costs</t>
  </si>
  <si>
    <t>Live2Lease Cost</t>
  </si>
  <si>
    <t>Maintenance Mania Cost</t>
  </si>
  <si>
    <t>Member Meeting Costs</t>
  </si>
  <si>
    <t>PAC Clay Shoot Cost</t>
  </si>
  <si>
    <t>Tradeshow Costs</t>
  </si>
  <si>
    <t>Winter Gala Costs</t>
  </si>
  <si>
    <t>Other Expenses</t>
  </si>
  <si>
    <t>Banner Ads Expense</t>
  </si>
  <si>
    <t>Directory/Printing &amp; Mailing</t>
  </si>
  <si>
    <t>Magazine Costs</t>
  </si>
  <si>
    <t>Purchases</t>
  </si>
  <si>
    <t>Sales of Product Expenses</t>
  </si>
  <si>
    <t>Cost of Forms Sold</t>
  </si>
  <si>
    <t>Delivery Cost</t>
  </si>
  <si>
    <t>Freight Costs</t>
  </si>
  <si>
    <t>Handling Charges</t>
  </si>
  <si>
    <t>Unapplied Cash Bill Payment Expense</t>
  </si>
  <si>
    <t>Uncategorized Expense</t>
  </si>
  <si>
    <t>Depreciation Expense</t>
  </si>
  <si>
    <t>Reconciliation Discrepancies</t>
  </si>
  <si>
    <t>Directory Expense</t>
  </si>
  <si>
    <t>2022 Total</t>
  </si>
  <si>
    <t>Total Education Income</t>
  </si>
  <si>
    <t>Total Payroll Expenses</t>
  </si>
  <si>
    <t>Total Administration Costs</t>
  </si>
  <si>
    <t>Total Education Expenses</t>
  </si>
  <si>
    <t>Total Dues Expenses</t>
  </si>
  <si>
    <t>Total Event Expenses</t>
  </si>
  <si>
    <t>Total Other Expenses</t>
  </si>
  <si>
    <t>Total Expenses</t>
  </si>
  <si>
    <t>Total Sales of Product Expenses</t>
  </si>
  <si>
    <t>NET OPERATING INCOME</t>
  </si>
  <si>
    <t>Total Event Income</t>
  </si>
  <si>
    <t>Total Other Income</t>
  </si>
  <si>
    <t>Total Cost of Goods Sold</t>
  </si>
  <si>
    <t>GROSS PROFIT</t>
  </si>
  <si>
    <t>Total Membership Income</t>
  </si>
  <si>
    <t>Total Sales of Product Income</t>
  </si>
  <si>
    <t>TOTAL INCOME</t>
  </si>
  <si>
    <t>2021 Projections</t>
  </si>
  <si>
    <t>Membership Net Income</t>
  </si>
  <si>
    <t>Total GA Expenses</t>
  </si>
  <si>
    <t>Net Publications Income</t>
  </si>
  <si>
    <t>2021 Budget</t>
  </si>
  <si>
    <t>Net Difference 2022 to 2021 Projected Actuals</t>
  </si>
  <si>
    <t>NOTES</t>
  </si>
  <si>
    <t>Public Relations Exp</t>
  </si>
  <si>
    <t>Meals with legislators and related GA Committee expense</t>
  </si>
  <si>
    <t>Misc. Exp</t>
  </si>
  <si>
    <t xml:space="preserve">Tracking Service $355/month; PAC database $67.75; &amp; two postage mailings to members for legislative/regulatory alerts at $460 each (Feb &amp; </t>
  </si>
  <si>
    <t xml:space="preserve">Aug); GA and PAC committees - meetings/phone bank meals: (GA: $125 for each month of Jan &amp; Feb, $350 for Apr,  $500 for each month of Sep </t>
  </si>
  <si>
    <t>&amp; Oct; PAC: $125 for each month of Feb, Aug, &amp; Nov.)</t>
  </si>
  <si>
    <t>Promotional/Mktg.</t>
  </si>
  <si>
    <t>Update and reprint PAC brochure in March $1,000.</t>
  </si>
  <si>
    <t>All BGF dues revenue goes directly to the Assets/Liabilities- no longer hits the P&amp;L</t>
  </si>
  <si>
    <t xml:space="preserve">Additional Expenses to Plan </t>
  </si>
  <si>
    <t>Travel - Genl Adm</t>
  </si>
  <si>
    <t xml:space="preserve">National GA Roundtable </t>
  </si>
  <si>
    <t>this goes under Administrative not GA</t>
  </si>
  <si>
    <t>TAA BOD Meetings (Legislative Cmte, Affordable Housing Cmte &amp; GR Depts meetings)</t>
  </si>
  <si>
    <t>Travel to NAA Cap Con (3/9-3/12)</t>
  </si>
  <si>
    <t>Travel for SA to DC (TBD, registration cost hasn' been posted yet for 2022)</t>
  </si>
  <si>
    <t>Dues/Subscriptions</t>
  </si>
  <si>
    <t>Bus. Coalition lunches monthly</t>
  </si>
  <si>
    <t>$35/$420</t>
  </si>
  <si>
    <t>Chamber events- monthly</t>
  </si>
  <si>
    <t>$70/$840</t>
  </si>
  <si>
    <t>RGA membership annual</t>
  </si>
  <si>
    <t>2022 budget only includes Membership, GA &amp; Communications- there will be additional when we add Admin</t>
  </si>
  <si>
    <t>2022 budget only includes Membership, GA &amp; Communications- there will be additional when we cover Admin</t>
  </si>
  <si>
    <t>website refresh with Novi in 2022</t>
  </si>
  <si>
    <t>Total Publications Income</t>
  </si>
  <si>
    <t>Total Publications Expense</t>
  </si>
  <si>
    <t>software licenses for 2021 include Admin and other departments</t>
  </si>
  <si>
    <t>dues &amp; subscriptions for 2021 include Admin &amp; other departments</t>
  </si>
  <si>
    <t>refresh of website</t>
  </si>
  <si>
    <t>no expenses for this category</t>
  </si>
  <si>
    <t>includes graphics expense and digital platform expense</t>
  </si>
  <si>
    <t>Total Membership Expenses</t>
  </si>
  <si>
    <t>Total Membership  Dues Income</t>
  </si>
  <si>
    <t>New Event Revenue</t>
  </si>
  <si>
    <t>New Event Costs</t>
  </si>
  <si>
    <t>Golf Tournament Cost</t>
  </si>
  <si>
    <t>Golf Tournament Revenue</t>
  </si>
  <si>
    <t>Education Net Income</t>
  </si>
  <si>
    <t>Total Events Income</t>
  </si>
  <si>
    <t>Total Events Expense</t>
  </si>
  <si>
    <t>Events Net Income</t>
  </si>
  <si>
    <t>PAC Outing Expense</t>
  </si>
  <si>
    <t>PAC Outing Income</t>
  </si>
  <si>
    <t>PAC Outing Cost</t>
  </si>
  <si>
    <t>there was a change in the requirements for pool operators for 2021- we budgeted for 1 CPO and held 3 resulting in higher than expected revenue in 2021. Budgeting for 2 CPO classes in 2022</t>
  </si>
  <si>
    <t>these are 2020 numbers- only 1 in person Redbook was held, 2nd one was virtual. We based the student numbers on 2020 numbers.</t>
  </si>
  <si>
    <t>we had a Covid surge when this class was held, resulting in less attendance than we budgeted</t>
  </si>
  <si>
    <t>we have not budgeted for this in the past, but added it this year</t>
  </si>
  <si>
    <t>L2L Future of Series added at least $25k in unbudgeted revenue for 2021 &amp; holding legal classes in a hybrid environment allowed us to increase attendance exponentially, resulting in higher than budgeted income in this category. We had budgeted for 272 attendees to legal/fair housing classes- we actually had 501 paid attendees- the positive increase to income for this category alone was $17,175</t>
  </si>
  <si>
    <t>there is no revenue for Business Exchange events</t>
  </si>
  <si>
    <t>PSC Event Income</t>
  </si>
  <si>
    <t>PSC is offering a new event in 2022 - Spazmatics concert, 2021 numbers were for Casino Night</t>
  </si>
  <si>
    <t xml:space="preserve">the budget committee included a PAC Outing budget for 2021 based on a golf tournament, PAC opted to have a Clay Shoot instead. </t>
  </si>
  <si>
    <t>L2L 2.0 was canceled for 2021 and hybrid mini events were held instead- that revenue is reflected in Education Seminars</t>
  </si>
  <si>
    <t>MM 2021 event budget was reduced due to Covid, but event was ultimately canceled. 2022 budget numbers reflect normal MM revenue numbers.</t>
  </si>
  <si>
    <t>2021 budget was based in a very small event for only board members, we ended up expanded the event a bit. 2022 budget is based on 2019 board plan to combine Winter Awards Gala &amp; Installation into one event.</t>
  </si>
  <si>
    <t>PSC Event Cost</t>
  </si>
  <si>
    <t>we held only 1 in person BE- the other was virtual; budgeting for 2 in person BEs for 2022</t>
  </si>
  <si>
    <t>State of the 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</si>
</sst>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* #,##0_);_(* \(#,##0\);_(* &quot;-&quot;??_);_(@_)"/>
  </numFmts>
  <fonts count="23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rgb="FF92D05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rgb="FF92D050"/>
        <bgColor rgb="FFFFFF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1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149">
    <xf numFmtId="0" fontId="0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 applyAlignment="1"/>
    <xf numFmtId="0" fontId="5" fillId="0" borderId="3" xfId="0" applyFont="1" applyBorder="1"/>
    <xf numFmtId="0" fontId="5" fillId="0" borderId="0" xfId="0" applyFont="1"/>
    <xf numFmtId="0" fontId="6" fillId="0" borderId="4" xfId="0" applyFont="1" applyBorder="1"/>
    <xf numFmtId="164" fontId="6" fillId="2" borderId="5" xfId="0" applyNumberFormat="1" applyFont="1" applyFill="1" applyBorder="1" applyAlignment="1"/>
    <xf numFmtId="164" fontId="6" fillId="3" borderId="5" xfId="0" applyNumberFormat="1" applyFont="1" applyFill="1" applyBorder="1"/>
    <xf numFmtId="164" fontId="6" fillId="0" borderId="6" xfId="0" applyNumberFormat="1" applyFont="1" applyBorder="1" applyAlignment="1"/>
    <xf numFmtId="0" fontId="7" fillId="0" borderId="0" xfId="0" applyFont="1" applyAlignment="1"/>
    <xf numFmtId="0" fontId="8" fillId="0" borderId="0" xfId="0" applyFont="1"/>
    <xf numFmtId="164" fontId="6" fillId="0" borderId="0" xfId="0" applyNumberFormat="1" applyFont="1"/>
    <xf numFmtId="0" fontId="6" fillId="0" borderId="0" xfId="0" applyFont="1"/>
    <xf numFmtId="0" fontId="6" fillId="0" borderId="0" xfId="0" applyFont="1" applyAlignment="1"/>
    <xf numFmtId="164" fontId="6" fillId="0" borderId="0" xfId="0" applyNumberFormat="1" applyFont="1" applyAlignment="1"/>
    <xf numFmtId="0" fontId="5" fillId="4" borderId="0" xfId="0" applyFont="1" applyFill="1"/>
    <xf numFmtId="164" fontId="5" fillId="0" borderId="0" xfId="0" applyNumberFormat="1" applyFont="1"/>
    <xf numFmtId="0" fontId="8" fillId="4" borderId="0" xfId="0" applyFont="1" applyFill="1"/>
    <xf numFmtId="0" fontId="6" fillId="4" borderId="0" xfId="0" applyFont="1" applyFill="1"/>
    <xf numFmtId="164" fontId="9" fillId="4" borderId="0" xfId="0" applyNumberFormat="1" applyFont="1" applyFill="1" applyAlignment="1">
      <alignment horizontal="right"/>
    </xf>
    <xf numFmtId="164" fontId="9" fillId="5" borderId="0" xfId="0" applyNumberFormat="1" applyFont="1" applyFill="1" applyAlignment="1">
      <alignment horizontal="right"/>
    </xf>
    <xf numFmtId="164" fontId="9" fillId="5" borderId="0" xfId="0" applyNumberFormat="1" applyFont="1" applyFill="1" applyAlignment="1">
      <alignment horizontal="right"/>
    </xf>
    <xf numFmtId="165" fontId="6" fillId="0" borderId="0" xfId="0" applyNumberFormat="1" applyFont="1"/>
    <xf numFmtId="164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164" fontId="8" fillId="0" borderId="0" xfId="0" applyNumberFormat="1" applyFont="1"/>
    <xf numFmtId="0" fontId="13" fillId="0" borderId="0" xfId="0" applyFont="1"/>
    <xf numFmtId="164" fontId="13" fillId="0" borderId="0" xfId="0" applyNumberFormat="1" applyFont="1"/>
    <xf numFmtId="0" fontId="8" fillId="6" borderId="0" xfId="0" applyFont="1" applyFill="1"/>
    <xf numFmtId="164" fontId="6" fillId="6" borderId="0" xfId="0" applyNumberFormat="1" applyFont="1" applyFill="1"/>
    <xf numFmtId="0" fontId="0" fillId="6" borderId="0" xfId="0" applyFont="1" applyFill="1" applyAlignment="1"/>
    <xf numFmtId="0" fontId="13" fillId="6" borderId="0" xfId="0" applyFont="1" applyFill="1"/>
    <xf numFmtId="164" fontId="6" fillId="6" borderId="0" xfId="0" applyNumberFormat="1" applyFont="1" applyFill="1" applyAlignment="1"/>
    <xf numFmtId="164" fontId="13" fillId="6" borderId="0" xfId="0" applyNumberFormat="1" applyFont="1" applyFill="1"/>
    <xf numFmtId="0" fontId="15" fillId="6" borderId="0" xfId="0" applyFont="1" applyFill="1" applyAlignment="1"/>
    <xf numFmtId="0" fontId="15" fillId="0" borderId="0" xfId="0" applyFont="1" applyAlignment="1"/>
    <xf numFmtId="164" fontId="12" fillId="0" borderId="0" xfId="0" applyNumberFormat="1" applyFont="1" applyAlignment="1"/>
    <xf numFmtId="164" fontId="2" fillId="0" borderId="0" xfId="0" applyNumberFormat="1" applyFont="1" applyAlignment="1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2" fillId="0" borderId="0" xfId="0" applyFont="1" applyAlignment="1"/>
    <xf numFmtId="164" fontId="2" fillId="0" borderId="0" xfId="1" applyNumberFormat="1" applyFont="1" applyAlignment="1"/>
    <xf numFmtId="164" fontId="0" fillId="0" borderId="0" xfId="1" applyNumberFormat="1" applyFont="1" applyAlignment="1"/>
    <xf numFmtId="164" fontId="12" fillId="0" borderId="0" xfId="1" applyNumberFormat="1" applyFont="1" applyAlignment="1"/>
    <xf numFmtId="164" fontId="2" fillId="6" borderId="0" xfId="1" applyNumberFormat="1" applyFont="1" applyFill="1" applyAlignment="1"/>
    <xf numFmtId="164" fontId="12" fillId="6" borderId="0" xfId="1" applyNumberFormat="1" applyFont="1" applyFill="1" applyAlignment="1"/>
    <xf numFmtId="0" fontId="6" fillId="7" borderId="0" xfId="0" applyFont="1" applyFill="1"/>
    <xf numFmtId="164" fontId="6" fillId="7" borderId="0" xfId="0" applyNumberFormat="1" applyFont="1" applyFill="1"/>
    <xf numFmtId="164" fontId="2" fillId="7" borderId="0" xfId="1" applyNumberFormat="1" applyFont="1" applyFill="1" applyAlignment="1"/>
    <xf numFmtId="0" fontId="6" fillId="0" borderId="0" xfId="0" applyFont="1" applyFill="1"/>
    <xf numFmtId="164" fontId="6" fillId="0" borderId="0" xfId="0" applyNumberFormat="1" applyFont="1" applyFill="1"/>
    <xf numFmtId="164" fontId="2" fillId="0" borderId="0" xfId="1" applyNumberFormat="1" applyFont="1" applyFill="1" applyAlignment="1"/>
    <xf numFmtId="0" fontId="0" fillId="0" borderId="0" xfId="0" applyFont="1" applyFill="1" applyAlignment="1"/>
    <xf numFmtId="164" fontId="13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0" fontId="17" fillId="0" borderId="0" xfId="2" applyFont="1" applyAlignment="1">
      <alignment horizontal="left"/>
    </xf>
    <xf numFmtId="166" fontId="2" fillId="0" borderId="0" xfId="3" applyNumberFormat="1" applyFont="1" applyFill="1"/>
    <xf numFmtId="166" fontId="2" fillId="0" borderId="0" xfId="3" applyNumberFormat="1" applyFont="1"/>
    <xf numFmtId="0" fontId="17" fillId="0" borderId="7" xfId="2" applyFont="1" applyBorder="1" applyAlignment="1">
      <alignment horizontal="left"/>
    </xf>
    <xf numFmtId="0" fontId="17" fillId="0" borderId="8" xfId="2" applyFont="1" applyBorder="1" applyAlignment="1">
      <alignment horizontal="left"/>
    </xf>
    <xf numFmtId="166" fontId="18" fillId="0" borderId="8" xfId="3" applyNumberFormat="1" applyFont="1" applyFill="1" applyBorder="1"/>
    <xf numFmtId="166" fontId="18" fillId="8" borderId="8" xfId="3" applyNumberFormat="1" applyFont="1" applyFill="1" applyBorder="1"/>
    <xf numFmtId="166" fontId="18" fillId="8" borderId="9" xfId="3" applyNumberFormat="1" applyFont="1" applyFill="1" applyBorder="1"/>
    <xf numFmtId="166" fontId="17" fillId="0" borderId="10" xfId="3" applyNumberFormat="1" applyFont="1" applyFill="1" applyBorder="1"/>
    <xf numFmtId="166" fontId="18" fillId="0" borderId="0" xfId="3" applyNumberFormat="1" applyFont="1" applyFill="1" applyBorder="1"/>
    <xf numFmtId="166" fontId="18" fillId="8" borderId="0" xfId="3" applyNumberFormat="1" applyFont="1" applyFill="1" applyBorder="1"/>
    <xf numFmtId="166" fontId="18" fillId="8" borderId="11" xfId="3" applyNumberFormat="1" applyFont="1" applyFill="1" applyBorder="1"/>
    <xf numFmtId="166" fontId="2" fillId="0" borderId="0" xfId="3" applyNumberFormat="1" applyFont="1" applyFill="1" applyBorder="1"/>
    <xf numFmtId="166" fontId="2" fillId="8" borderId="0" xfId="3" applyNumberFormat="1" applyFont="1" applyFill="1" applyBorder="1"/>
    <xf numFmtId="166" fontId="2" fillId="8" borderId="11" xfId="3" applyNumberFormat="1" applyFont="1" applyFill="1" applyBorder="1"/>
    <xf numFmtId="0" fontId="17" fillId="0" borderId="10" xfId="2" applyFont="1" applyBorder="1" applyAlignment="1">
      <alignment horizontal="left"/>
    </xf>
    <xf numFmtId="166" fontId="18" fillId="0" borderId="11" xfId="3" applyNumberFormat="1" applyFont="1" applyFill="1" applyBorder="1"/>
    <xf numFmtId="0" fontId="17" fillId="0" borderId="0" xfId="2" applyFont="1" applyBorder="1" applyAlignment="1">
      <alignment horizontal="left"/>
    </xf>
    <xf numFmtId="0" fontId="17" fillId="8" borderId="0" xfId="2" applyFont="1" applyFill="1" applyBorder="1" applyAlignment="1">
      <alignment horizontal="left"/>
    </xf>
    <xf numFmtId="0" fontId="17" fillId="7" borderId="10" xfId="2" applyFont="1" applyFill="1" applyBorder="1"/>
    <xf numFmtId="0" fontId="17" fillId="7" borderId="0" xfId="2" applyFont="1" applyFill="1" applyBorder="1"/>
    <xf numFmtId="166" fontId="18" fillId="7" borderId="0" xfId="3" applyNumberFormat="1" applyFont="1" applyFill="1" applyBorder="1"/>
    <xf numFmtId="166" fontId="18" fillId="7" borderId="11" xfId="3" applyNumberFormat="1" applyFont="1" applyFill="1" applyBorder="1"/>
    <xf numFmtId="166" fontId="2" fillId="7" borderId="0" xfId="3" applyNumberFormat="1" applyFont="1" applyFill="1" applyBorder="1"/>
    <xf numFmtId="166" fontId="2" fillId="7" borderId="11" xfId="3" applyNumberFormat="1" applyFont="1" applyFill="1" applyBorder="1"/>
    <xf numFmtId="0" fontId="19" fillId="0" borderId="10" xfId="2" applyFont="1" applyBorder="1"/>
    <xf numFmtId="0" fontId="17" fillId="0" borderId="0" xfId="2" applyFont="1" applyBorder="1"/>
    <xf numFmtId="166" fontId="2" fillId="0" borderId="0" xfId="3" applyNumberFormat="1" applyFont="1" applyBorder="1"/>
    <xf numFmtId="166" fontId="2" fillId="0" borderId="11" xfId="3" applyNumberFormat="1" applyFont="1" applyBorder="1"/>
    <xf numFmtId="0" fontId="16" fillId="0" borderId="10" xfId="2" applyBorder="1"/>
    <xf numFmtId="0" fontId="16" fillId="0" borderId="0" xfId="2" applyBorder="1"/>
    <xf numFmtId="0" fontId="16" fillId="0" borderId="10" xfId="2" applyBorder="1" applyAlignment="1">
      <alignment horizontal="center"/>
    </xf>
    <xf numFmtId="166" fontId="2" fillId="0" borderId="11" xfId="3" applyNumberFormat="1" applyFont="1" applyFill="1" applyBorder="1"/>
    <xf numFmtId="0" fontId="20" fillId="0" borderId="0" xfId="2" applyFont="1" applyBorder="1"/>
    <xf numFmtId="0" fontId="0" fillId="0" borderId="0" xfId="2" applyFont="1" applyBorder="1"/>
    <xf numFmtId="0" fontId="16" fillId="8" borderId="10" xfId="2" applyFill="1" applyBorder="1" applyAlignment="1">
      <alignment horizontal="center"/>
    </xf>
    <xf numFmtId="0" fontId="16" fillId="8" borderId="0" xfId="2" applyFill="1" applyBorder="1"/>
    <xf numFmtId="166" fontId="2" fillId="0" borderId="0" xfId="3" applyNumberFormat="1" applyFont="1" applyBorder="1" applyAlignment="1">
      <alignment horizontal="left"/>
    </xf>
    <xf numFmtId="0" fontId="16" fillId="0" borderId="12" xfId="2" applyBorder="1" applyAlignment="1">
      <alignment horizontal="center"/>
    </xf>
    <xf numFmtId="0" fontId="16" fillId="0" borderId="13" xfId="2" applyBorder="1"/>
    <xf numFmtId="166" fontId="2" fillId="0" borderId="13" xfId="3" applyNumberFormat="1" applyFont="1" applyBorder="1"/>
    <xf numFmtId="165" fontId="2" fillId="0" borderId="13" xfId="4" applyNumberFormat="1" applyFont="1" applyBorder="1" applyAlignment="1">
      <alignment horizontal="left"/>
    </xf>
    <xf numFmtId="166" fontId="2" fillId="0" borderId="14" xfId="3" applyNumberFormat="1" applyFont="1" applyBorder="1"/>
    <xf numFmtId="164" fontId="6" fillId="0" borderId="0" xfId="0" applyNumberFormat="1" applyFont="1" applyFill="1" applyAlignment="1"/>
    <xf numFmtId="0" fontId="0" fillId="9" borderId="0" xfId="0" applyFont="1" applyFill="1" applyAlignment="1"/>
    <xf numFmtId="0" fontId="6" fillId="9" borderId="0" xfId="0" applyFont="1" applyFill="1"/>
    <xf numFmtId="164" fontId="6" fillId="9" borderId="0" xfId="0" applyNumberFormat="1" applyFont="1" applyFill="1" applyAlignment="1"/>
    <xf numFmtId="164" fontId="6" fillId="9" borderId="0" xfId="0" applyNumberFormat="1" applyFont="1" applyFill="1"/>
    <xf numFmtId="164" fontId="9" fillId="9" borderId="0" xfId="0" applyNumberFormat="1" applyFont="1" applyFill="1" applyAlignment="1">
      <alignment horizontal="right"/>
    </xf>
    <xf numFmtId="164" fontId="9" fillId="10" borderId="0" xfId="0" applyNumberFormat="1" applyFont="1" applyFill="1" applyAlignment="1"/>
    <xf numFmtId="164" fontId="21" fillId="9" borderId="0" xfId="0" applyNumberFormat="1" applyFont="1" applyFill="1" applyAlignment="1">
      <alignment horizontal="right"/>
    </xf>
    <xf numFmtId="164" fontId="21" fillId="9" borderId="0" xfId="0" applyNumberFormat="1" applyFont="1" applyFill="1" applyBorder="1" applyAlignment="1">
      <alignment horizontal="right"/>
    </xf>
    <xf numFmtId="164" fontId="2" fillId="9" borderId="0" xfId="0" applyNumberFormat="1" applyFont="1" applyFill="1" applyAlignment="1"/>
    <xf numFmtId="164" fontId="21" fillId="11" borderId="0" xfId="0" applyNumberFormat="1" applyFont="1" applyFill="1" applyAlignment="1">
      <alignment horizontal="right"/>
    </xf>
    <xf numFmtId="0" fontId="14" fillId="9" borderId="0" xfId="0" applyFont="1" applyFill="1"/>
    <xf numFmtId="164" fontId="22" fillId="9" borderId="0" xfId="0" applyNumberFormat="1" applyFont="1" applyFill="1" applyAlignment="1">
      <alignment horizontal="right"/>
    </xf>
    <xf numFmtId="164" fontId="14" fillId="9" borderId="0" xfId="0" applyNumberFormat="1" applyFont="1" applyFill="1" applyAlignment="1"/>
    <xf numFmtId="0" fontId="14" fillId="9" borderId="0" xfId="0" applyFont="1" applyFill="1" applyAlignment="1"/>
    <xf numFmtId="164" fontId="10" fillId="9" borderId="0" xfId="0" applyNumberFormat="1" applyFont="1" applyFill="1" applyAlignment="1">
      <alignment horizontal="right"/>
    </xf>
    <xf numFmtId="0" fontId="0" fillId="7" borderId="0" xfId="0" applyFont="1" applyFill="1" applyAlignment="1"/>
    <xf numFmtId="164" fontId="8" fillId="0" borderId="0" xfId="0" applyNumberFormat="1" applyFont="1" applyFill="1"/>
    <xf numFmtId="164" fontId="1" fillId="0" borderId="0" xfId="0" applyNumberFormat="1" applyFont="1" applyAlignment="1"/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6" borderId="0" xfId="0" applyFont="1" applyFill="1" applyAlignment="1"/>
    <xf numFmtId="164" fontId="1" fillId="0" borderId="0" xfId="1" applyNumberFormat="1" applyFont="1" applyAlignment="1"/>
    <xf numFmtId="164" fontId="1" fillId="6" borderId="0" xfId="1" applyNumberFormat="1" applyFont="1" applyFill="1" applyAlignment="1"/>
    <xf numFmtId="164" fontId="1" fillId="0" borderId="0" xfId="1" applyNumberFormat="1" applyFont="1" applyFill="1" applyAlignment="1"/>
    <xf numFmtId="164" fontId="1" fillId="0" borderId="0" xfId="1" applyNumberFormat="1" applyFont="1" applyAlignment="1">
      <alignment wrapText="1"/>
    </xf>
    <xf numFmtId="164" fontId="6" fillId="7" borderId="0" xfId="0" applyNumberFormat="1" applyFont="1" applyFill="1" applyAlignment="1"/>
    <xf numFmtId="0" fontId="14" fillId="2" borderId="0" xfId="0" applyFont="1" applyFill="1"/>
    <xf numFmtId="164" fontId="14" fillId="2" borderId="0" xfId="0" applyNumberFormat="1" applyFont="1" applyFill="1"/>
    <xf numFmtId="0" fontId="0" fillId="7" borderId="0" xfId="0" applyFill="1"/>
    <xf numFmtId="164" fontId="14" fillId="7" borderId="0" xfId="0" applyNumberFormat="1" applyFont="1" applyFill="1"/>
    <xf numFmtId="0" fontId="14" fillId="0" borderId="0" xfId="0" applyFont="1"/>
    <xf numFmtId="164" fontId="21" fillId="7" borderId="0" xfId="0" applyNumberFormat="1" applyFont="1" applyFill="1" applyAlignment="1">
      <alignment horizontal="right"/>
    </xf>
    <xf numFmtId="164" fontId="21" fillId="7" borderId="0" xfId="0" applyNumberFormat="1" applyFont="1" applyFill="1" applyBorder="1" applyAlignment="1">
      <alignment horizontal="right"/>
    </xf>
    <xf numFmtId="164" fontId="2" fillId="7" borderId="0" xfId="0" applyNumberFormat="1" applyFont="1" applyFill="1" applyAlignment="1"/>
    <xf numFmtId="164" fontId="21" fillId="12" borderId="0" xfId="0" applyNumberFormat="1" applyFont="1" applyFill="1" applyAlignment="1">
      <alignment horizontal="right"/>
    </xf>
    <xf numFmtId="164" fontId="1" fillId="7" borderId="0" xfId="0" applyNumberFormat="1" applyFont="1" applyFill="1" applyAlignment="1"/>
    <xf numFmtId="0" fontId="1" fillId="7" borderId="0" xfId="0" applyFont="1" applyFill="1" applyAlignment="1"/>
    <xf numFmtId="164" fontId="9" fillId="7" borderId="0" xfId="0" applyNumberFormat="1" applyFont="1" applyFill="1" applyAlignment="1"/>
    <xf numFmtId="164" fontId="9" fillId="7" borderId="0" xfId="0" applyNumberFormat="1" applyFont="1" applyFill="1" applyAlignment="1">
      <alignment horizontal="right"/>
    </xf>
    <xf numFmtId="0" fontId="6" fillId="13" borderId="0" xfId="0" applyFont="1" applyFill="1"/>
    <xf numFmtId="164" fontId="6" fillId="13" borderId="0" xfId="0" applyNumberFormat="1" applyFont="1" applyFill="1" applyAlignment="1"/>
    <xf numFmtId="164" fontId="6" fillId="13" borderId="0" xfId="0" applyNumberFormat="1" applyFont="1" applyFill="1"/>
    <xf numFmtId="0" fontId="14" fillId="13" borderId="0" xfId="0" applyFont="1" applyFill="1"/>
    <xf numFmtId="0" fontId="6" fillId="13" borderId="0" xfId="0" applyFont="1" applyFill="1" applyAlignment="1"/>
    <xf numFmtId="0" fontId="14" fillId="13" borderId="0" xfId="0" applyFont="1" applyFill="1" applyAlignment="1">
      <alignment wrapText="1"/>
    </xf>
  </cellXfs>
  <cellStyles count="5">
    <cellStyle name="Comma 2" xfId="3" xr:uid="{00000000-0005-0000-0000-000000000000}"/>
    <cellStyle name="Currency" xfId="1" builtinId="4"/>
    <cellStyle name="Currency 2" xfId="4" xr:uid="{00000000-0005-0000-0000-000002000000}"/>
    <cellStyle name="Normal" xfId="0" builtinId="0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ri\AppData\Local\Microsoft\Windows\INetCache\Content.Outlook\SS12UHKD\KP%202022%20Budget_DRAFT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 SheetInstructions"/>
      <sheetName val="Master"/>
      <sheetName val="Admin"/>
      <sheetName val="Membership"/>
      <sheetName val="GA"/>
      <sheetName val="Education"/>
      <sheetName val="Events"/>
      <sheetName val="Communications"/>
    </sheetNames>
    <sheetDataSet>
      <sheetData sheetId="0" refreshError="1"/>
      <sheetData sheetId="1">
        <row r="32">
          <cell r="O32">
            <v>24279</v>
          </cell>
          <cell r="P32">
            <v>22500</v>
          </cell>
          <cell r="Q32">
            <v>-279</v>
          </cell>
        </row>
        <row r="36">
          <cell r="O36">
            <v>22183</v>
          </cell>
          <cell r="P36">
            <v>23928</v>
          </cell>
          <cell r="Q36">
            <v>579</v>
          </cell>
        </row>
        <row r="40">
          <cell r="O40">
            <v>12300</v>
          </cell>
          <cell r="P40">
            <v>12000</v>
          </cell>
          <cell r="Q40">
            <v>-300</v>
          </cell>
        </row>
        <row r="41">
          <cell r="O41">
            <v>26800</v>
          </cell>
          <cell r="P41">
            <v>15600</v>
          </cell>
          <cell r="Q41">
            <v>400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1000"/>
  <sheetViews>
    <sheetView workbookViewId="0"/>
  </sheetViews>
  <sheetFormatPr defaultColWidth="12.625" defaultRowHeight="15" customHeight="1" x14ac:dyDescent="0.2"/>
  <cols>
    <col min="1" max="1" width="7.5" customWidth="1"/>
    <col min="2" max="2" width="7.25" customWidth="1"/>
    <col min="3" max="3" width="19" customWidth="1"/>
  </cols>
  <sheetData>
    <row r="1" spans="1:15" ht="27.75" customHeight="1" x14ac:dyDescent="0.3">
      <c r="A1" s="1" t="s">
        <v>0</v>
      </c>
      <c r="B1" s="2" t="s">
        <v>1</v>
      </c>
    </row>
    <row r="2" spans="1:15" ht="27.75" customHeight="1" x14ac:dyDescent="0.3">
      <c r="A2" s="1" t="s">
        <v>2</v>
      </c>
      <c r="B2" s="2" t="s">
        <v>3</v>
      </c>
    </row>
    <row r="3" spans="1:15" ht="27.75" customHeight="1" x14ac:dyDescent="0.3">
      <c r="A3" s="1" t="s">
        <v>4</v>
      </c>
      <c r="B3" s="2" t="s">
        <v>5</v>
      </c>
    </row>
    <row r="4" spans="1:15" ht="27.75" customHeight="1" x14ac:dyDescent="0.3">
      <c r="A4" s="3"/>
      <c r="B4" s="4"/>
      <c r="C4" s="5" t="s">
        <v>6</v>
      </c>
      <c r="D4" s="6" t="s">
        <v>7</v>
      </c>
      <c r="E4" s="6" t="s">
        <v>8</v>
      </c>
      <c r="F4" s="6" t="s">
        <v>9</v>
      </c>
      <c r="G4" s="7" t="s">
        <v>10</v>
      </c>
      <c r="H4" s="8"/>
      <c r="I4" s="8"/>
      <c r="J4" s="8"/>
      <c r="K4" s="8"/>
      <c r="L4" s="8"/>
      <c r="M4" s="8"/>
      <c r="N4" s="8"/>
      <c r="O4" s="8"/>
    </row>
    <row r="5" spans="1:15" ht="27.75" customHeight="1" x14ac:dyDescent="0.3">
      <c r="A5" s="3"/>
      <c r="B5" s="4"/>
      <c r="C5" s="9" t="s">
        <v>11</v>
      </c>
      <c r="D5" s="10" t="s">
        <v>12</v>
      </c>
      <c r="E5" s="11">
        <f>G5/12</f>
        <v>1000</v>
      </c>
      <c r="F5" s="11">
        <f>G5/12</f>
        <v>1000</v>
      </c>
      <c r="G5" s="12">
        <v>12000</v>
      </c>
    </row>
    <row r="6" spans="1:15" ht="27.75" customHeight="1" x14ac:dyDescent="0.3">
      <c r="A6" s="3"/>
      <c r="B6" s="4"/>
      <c r="C6" s="13" t="s">
        <v>13</v>
      </c>
    </row>
    <row r="7" spans="1:15" ht="27.75" customHeight="1" x14ac:dyDescent="0.3">
      <c r="A7" s="3"/>
      <c r="B7" s="2" t="s">
        <v>14</v>
      </c>
    </row>
    <row r="8" spans="1:15" ht="27.75" customHeight="1" x14ac:dyDescent="0.3">
      <c r="A8" s="1" t="s">
        <v>15</v>
      </c>
      <c r="B8" s="2" t="s">
        <v>16</v>
      </c>
    </row>
    <row r="9" spans="1:15" ht="27.75" customHeight="1" x14ac:dyDescent="0.2"/>
    <row r="10" spans="1:15" ht="27.75" customHeight="1" x14ac:dyDescent="0.2"/>
    <row r="11" spans="1:15" ht="27.75" customHeight="1" x14ac:dyDescent="0.2"/>
    <row r="12" spans="1:15" ht="27.75" customHeight="1" x14ac:dyDescent="0.2"/>
    <row r="13" spans="1:15" ht="27.75" customHeight="1" x14ac:dyDescent="0.2"/>
    <row r="14" spans="1:15" ht="27.75" customHeight="1" x14ac:dyDescent="0.2"/>
    <row r="15" spans="1:15" ht="27.75" customHeight="1" x14ac:dyDescent="0.2"/>
    <row r="16" spans="1:15" ht="27.75" customHeight="1" x14ac:dyDescent="0.2"/>
    <row r="17" ht="27.75" customHeight="1" x14ac:dyDescent="0.2"/>
    <row r="18" ht="27.75" customHeight="1" x14ac:dyDescent="0.2"/>
    <row r="19" ht="27.75" customHeight="1" x14ac:dyDescent="0.2"/>
    <row r="20" ht="27.75" customHeight="1" x14ac:dyDescent="0.2"/>
    <row r="21" ht="27.75" customHeight="1" x14ac:dyDescent="0.2"/>
    <row r="22" ht="27.75" customHeight="1" x14ac:dyDescent="0.2"/>
    <row r="23" ht="27.75" customHeight="1" x14ac:dyDescent="0.2"/>
    <row r="24" ht="27.75" customHeight="1" x14ac:dyDescent="0.2"/>
    <row r="25" ht="27.75" customHeight="1" x14ac:dyDescent="0.2"/>
    <row r="26" ht="27.75" customHeight="1" x14ac:dyDescent="0.2"/>
    <row r="27" ht="27.75" customHeight="1" x14ac:dyDescent="0.2"/>
    <row r="28" ht="27.75" customHeight="1" x14ac:dyDescent="0.2"/>
    <row r="29" ht="27.75" customHeight="1" x14ac:dyDescent="0.2"/>
    <row r="30" ht="27.75" customHeight="1" x14ac:dyDescent="0.2"/>
    <row r="31" ht="27.75" customHeight="1" x14ac:dyDescent="0.2"/>
    <row r="32" ht="27.75" customHeight="1" x14ac:dyDescent="0.2"/>
    <row r="33" ht="27.75" customHeight="1" x14ac:dyDescent="0.2"/>
    <row r="34" ht="27.75" customHeight="1" x14ac:dyDescent="0.2"/>
    <row r="35" ht="27.75" customHeight="1" x14ac:dyDescent="0.2"/>
    <row r="36" ht="27.75" customHeight="1" x14ac:dyDescent="0.2"/>
    <row r="37" ht="27.75" customHeight="1" x14ac:dyDescent="0.2"/>
    <row r="38" ht="27.75" customHeight="1" x14ac:dyDescent="0.2"/>
    <row r="39" ht="27.75" customHeight="1" x14ac:dyDescent="0.2"/>
    <row r="40" ht="27.75" customHeight="1" x14ac:dyDescent="0.2"/>
    <row r="41" ht="27.75" customHeight="1" x14ac:dyDescent="0.2"/>
    <row r="42" ht="27.75" customHeight="1" x14ac:dyDescent="0.2"/>
    <row r="43" ht="27.75" customHeight="1" x14ac:dyDescent="0.2"/>
    <row r="44" ht="27.75" customHeight="1" x14ac:dyDescent="0.2"/>
    <row r="45" ht="27.75" customHeight="1" x14ac:dyDescent="0.2"/>
    <row r="46" ht="27.75" customHeight="1" x14ac:dyDescent="0.2"/>
    <row r="47" ht="27.75" customHeight="1" x14ac:dyDescent="0.2"/>
    <row r="48" ht="27.75" customHeight="1" x14ac:dyDescent="0.2"/>
    <row r="49" ht="27.75" customHeight="1" x14ac:dyDescent="0.2"/>
    <row r="50" ht="27.75" customHeight="1" x14ac:dyDescent="0.2"/>
    <row r="51" ht="27.75" customHeight="1" x14ac:dyDescent="0.2"/>
    <row r="52" ht="27.75" customHeight="1" x14ac:dyDescent="0.2"/>
    <row r="53" ht="27.75" customHeight="1" x14ac:dyDescent="0.2"/>
    <row r="54" ht="27.75" customHeight="1" x14ac:dyDescent="0.2"/>
    <row r="55" ht="27.75" customHeight="1" x14ac:dyDescent="0.2"/>
    <row r="56" ht="27.75" customHeight="1" x14ac:dyDescent="0.2"/>
    <row r="57" ht="27.75" customHeight="1" x14ac:dyDescent="0.2"/>
    <row r="58" ht="27.75" customHeight="1" x14ac:dyDescent="0.2"/>
    <row r="59" ht="27.75" customHeight="1" x14ac:dyDescent="0.2"/>
    <row r="60" ht="27.75" customHeight="1" x14ac:dyDescent="0.2"/>
    <row r="61" ht="27.75" customHeight="1" x14ac:dyDescent="0.2"/>
    <row r="62" ht="27.75" customHeight="1" x14ac:dyDescent="0.2"/>
    <row r="63" ht="27.75" customHeight="1" x14ac:dyDescent="0.2"/>
    <row r="64" ht="27.75" customHeight="1" x14ac:dyDescent="0.2"/>
    <row r="65" ht="27.75" customHeight="1" x14ac:dyDescent="0.2"/>
    <row r="66" ht="27.75" customHeight="1" x14ac:dyDescent="0.2"/>
    <row r="67" ht="27.75" customHeight="1" x14ac:dyDescent="0.2"/>
    <row r="68" ht="27.75" customHeight="1" x14ac:dyDescent="0.2"/>
    <row r="69" ht="27.75" customHeight="1" x14ac:dyDescent="0.2"/>
    <row r="70" ht="27.75" customHeight="1" x14ac:dyDescent="0.2"/>
    <row r="71" ht="27.75" customHeight="1" x14ac:dyDescent="0.2"/>
    <row r="72" ht="27.75" customHeight="1" x14ac:dyDescent="0.2"/>
    <row r="73" ht="27.75" customHeight="1" x14ac:dyDescent="0.2"/>
    <row r="74" ht="27.75" customHeight="1" x14ac:dyDescent="0.2"/>
    <row r="75" ht="27.75" customHeight="1" x14ac:dyDescent="0.2"/>
    <row r="76" ht="27.75" customHeight="1" x14ac:dyDescent="0.2"/>
    <row r="77" ht="27.75" customHeight="1" x14ac:dyDescent="0.2"/>
    <row r="78" ht="27.75" customHeight="1" x14ac:dyDescent="0.2"/>
    <row r="79" ht="27.75" customHeight="1" x14ac:dyDescent="0.2"/>
    <row r="80" ht="27.75" customHeight="1" x14ac:dyDescent="0.2"/>
    <row r="81" ht="27.75" customHeight="1" x14ac:dyDescent="0.2"/>
    <row r="82" ht="27.75" customHeight="1" x14ac:dyDescent="0.2"/>
    <row r="83" ht="27.75" customHeight="1" x14ac:dyDescent="0.2"/>
    <row r="84" ht="27.75" customHeight="1" x14ac:dyDescent="0.2"/>
    <row r="85" ht="27.75" customHeight="1" x14ac:dyDescent="0.2"/>
    <row r="86" ht="27.75" customHeight="1" x14ac:dyDescent="0.2"/>
    <row r="87" ht="27.75" customHeight="1" x14ac:dyDescent="0.2"/>
    <row r="88" ht="27.75" customHeight="1" x14ac:dyDescent="0.2"/>
    <row r="89" ht="27.75" customHeight="1" x14ac:dyDescent="0.2"/>
    <row r="90" ht="27.75" customHeight="1" x14ac:dyDescent="0.2"/>
    <row r="91" ht="27.75" customHeight="1" x14ac:dyDescent="0.2"/>
    <row r="92" ht="27.75" customHeight="1" x14ac:dyDescent="0.2"/>
    <row r="93" ht="27.75" customHeight="1" x14ac:dyDescent="0.2"/>
    <row r="94" ht="27.75" customHeight="1" x14ac:dyDescent="0.2"/>
    <row r="95" ht="27.75" customHeight="1" x14ac:dyDescent="0.2"/>
    <row r="96" ht="27.75" customHeight="1" x14ac:dyDescent="0.2"/>
    <row r="97" ht="27.75" customHeight="1" x14ac:dyDescent="0.2"/>
    <row r="98" ht="27.75" customHeight="1" x14ac:dyDescent="0.2"/>
    <row r="99" ht="27.75" customHeight="1" x14ac:dyDescent="0.2"/>
    <row r="100" ht="27.75" customHeight="1" x14ac:dyDescent="0.2"/>
    <row r="101" ht="27.75" customHeight="1" x14ac:dyDescent="0.2"/>
    <row r="102" ht="27.75" customHeight="1" x14ac:dyDescent="0.2"/>
    <row r="103" ht="27.75" customHeight="1" x14ac:dyDescent="0.2"/>
    <row r="104" ht="27.75" customHeight="1" x14ac:dyDescent="0.2"/>
    <row r="105" ht="27.75" customHeight="1" x14ac:dyDescent="0.2"/>
    <row r="106" ht="27.75" customHeight="1" x14ac:dyDescent="0.2"/>
    <row r="107" ht="27.75" customHeight="1" x14ac:dyDescent="0.2"/>
    <row r="108" ht="27.75" customHeight="1" x14ac:dyDescent="0.2"/>
    <row r="109" ht="27.75" customHeight="1" x14ac:dyDescent="0.2"/>
    <row r="110" ht="27.75" customHeight="1" x14ac:dyDescent="0.2"/>
    <row r="111" ht="27.75" customHeight="1" x14ac:dyDescent="0.2"/>
    <row r="112" ht="27.75" customHeight="1" x14ac:dyDescent="0.2"/>
    <row r="113" ht="27.75" customHeight="1" x14ac:dyDescent="0.2"/>
    <row r="114" ht="27.75" customHeight="1" x14ac:dyDescent="0.2"/>
    <row r="115" ht="27.75" customHeight="1" x14ac:dyDescent="0.2"/>
    <row r="116" ht="27.75" customHeight="1" x14ac:dyDescent="0.2"/>
    <row r="117" ht="27.75" customHeight="1" x14ac:dyDescent="0.2"/>
    <row r="118" ht="27.75" customHeight="1" x14ac:dyDescent="0.2"/>
    <row r="119" ht="27.75" customHeight="1" x14ac:dyDescent="0.2"/>
    <row r="120" ht="27.75" customHeight="1" x14ac:dyDescent="0.2"/>
    <row r="121" ht="27.75" customHeight="1" x14ac:dyDescent="0.2"/>
    <row r="122" ht="27.75" customHeight="1" x14ac:dyDescent="0.2"/>
    <row r="123" ht="27.75" customHeight="1" x14ac:dyDescent="0.2"/>
    <row r="124" ht="27.75" customHeight="1" x14ac:dyDescent="0.2"/>
    <row r="125" ht="27.75" customHeight="1" x14ac:dyDescent="0.2"/>
    <row r="126" ht="27.75" customHeight="1" x14ac:dyDescent="0.2"/>
    <row r="127" ht="27.75" customHeight="1" x14ac:dyDescent="0.2"/>
    <row r="128" ht="27.75" customHeight="1" x14ac:dyDescent="0.2"/>
    <row r="129" ht="27.75" customHeight="1" x14ac:dyDescent="0.2"/>
    <row r="130" ht="27.75" customHeight="1" x14ac:dyDescent="0.2"/>
    <row r="131" ht="27.75" customHeight="1" x14ac:dyDescent="0.2"/>
    <row r="132" ht="27.75" customHeight="1" x14ac:dyDescent="0.2"/>
    <row r="133" ht="27.75" customHeight="1" x14ac:dyDescent="0.2"/>
    <row r="134" ht="27.75" customHeight="1" x14ac:dyDescent="0.2"/>
    <row r="135" ht="27.75" customHeight="1" x14ac:dyDescent="0.2"/>
    <row r="136" ht="27.75" customHeight="1" x14ac:dyDescent="0.2"/>
    <row r="137" ht="27.75" customHeight="1" x14ac:dyDescent="0.2"/>
    <row r="138" ht="27.75" customHeight="1" x14ac:dyDescent="0.2"/>
    <row r="139" ht="27.75" customHeight="1" x14ac:dyDescent="0.2"/>
    <row r="140" ht="27.75" customHeight="1" x14ac:dyDescent="0.2"/>
    <row r="141" ht="27.75" customHeight="1" x14ac:dyDescent="0.2"/>
    <row r="142" ht="27.75" customHeight="1" x14ac:dyDescent="0.2"/>
    <row r="143" ht="27.75" customHeight="1" x14ac:dyDescent="0.2"/>
    <row r="144" ht="27.75" customHeight="1" x14ac:dyDescent="0.2"/>
    <row r="145" ht="27.75" customHeight="1" x14ac:dyDescent="0.2"/>
    <row r="146" ht="27.75" customHeight="1" x14ac:dyDescent="0.2"/>
    <row r="147" ht="27.75" customHeight="1" x14ac:dyDescent="0.2"/>
    <row r="148" ht="27.75" customHeight="1" x14ac:dyDescent="0.2"/>
    <row r="149" ht="27.75" customHeight="1" x14ac:dyDescent="0.2"/>
    <row r="150" ht="27.75" customHeight="1" x14ac:dyDescent="0.2"/>
    <row r="151" ht="27.75" customHeight="1" x14ac:dyDescent="0.2"/>
    <row r="152" ht="27.75" customHeight="1" x14ac:dyDescent="0.2"/>
    <row r="153" ht="27.75" customHeight="1" x14ac:dyDescent="0.2"/>
    <row r="154" ht="27.75" customHeight="1" x14ac:dyDescent="0.2"/>
    <row r="155" ht="27.75" customHeight="1" x14ac:dyDescent="0.2"/>
    <row r="156" ht="27.75" customHeight="1" x14ac:dyDescent="0.2"/>
    <row r="157" ht="27.75" customHeight="1" x14ac:dyDescent="0.2"/>
    <row r="158" ht="27.75" customHeight="1" x14ac:dyDescent="0.2"/>
    <row r="159" ht="27.75" customHeight="1" x14ac:dyDescent="0.2"/>
    <row r="160" ht="27.75" customHeight="1" x14ac:dyDescent="0.2"/>
    <row r="161" ht="27.75" customHeight="1" x14ac:dyDescent="0.2"/>
    <row r="162" ht="27.75" customHeight="1" x14ac:dyDescent="0.2"/>
    <row r="163" ht="27.75" customHeight="1" x14ac:dyDescent="0.2"/>
    <row r="164" ht="27.75" customHeight="1" x14ac:dyDescent="0.2"/>
    <row r="165" ht="27.75" customHeight="1" x14ac:dyDescent="0.2"/>
    <row r="166" ht="27.75" customHeight="1" x14ac:dyDescent="0.2"/>
    <row r="167" ht="27.75" customHeight="1" x14ac:dyDescent="0.2"/>
    <row r="168" ht="27.75" customHeight="1" x14ac:dyDescent="0.2"/>
    <row r="169" ht="27.75" customHeight="1" x14ac:dyDescent="0.2"/>
    <row r="170" ht="27.75" customHeight="1" x14ac:dyDescent="0.2"/>
    <row r="171" ht="27.75" customHeight="1" x14ac:dyDescent="0.2"/>
    <row r="172" ht="27.75" customHeight="1" x14ac:dyDescent="0.2"/>
    <row r="173" ht="27.75" customHeight="1" x14ac:dyDescent="0.2"/>
    <row r="174" ht="27.75" customHeight="1" x14ac:dyDescent="0.2"/>
    <row r="175" ht="27.75" customHeight="1" x14ac:dyDescent="0.2"/>
    <row r="176" ht="27.75" customHeight="1" x14ac:dyDescent="0.2"/>
    <row r="177" ht="27.75" customHeight="1" x14ac:dyDescent="0.2"/>
    <row r="178" ht="27.75" customHeight="1" x14ac:dyDescent="0.2"/>
    <row r="179" ht="27.75" customHeight="1" x14ac:dyDescent="0.2"/>
    <row r="180" ht="27.75" customHeight="1" x14ac:dyDescent="0.2"/>
    <row r="181" ht="27.75" customHeight="1" x14ac:dyDescent="0.2"/>
    <row r="182" ht="27.75" customHeight="1" x14ac:dyDescent="0.2"/>
    <row r="183" ht="27.75" customHeight="1" x14ac:dyDescent="0.2"/>
    <row r="184" ht="27.75" customHeight="1" x14ac:dyDescent="0.2"/>
    <row r="185" ht="27.75" customHeight="1" x14ac:dyDescent="0.2"/>
    <row r="186" ht="27.75" customHeight="1" x14ac:dyDescent="0.2"/>
    <row r="187" ht="27.75" customHeight="1" x14ac:dyDescent="0.2"/>
    <row r="188" ht="27.75" customHeight="1" x14ac:dyDescent="0.2"/>
    <row r="189" ht="27.75" customHeight="1" x14ac:dyDescent="0.2"/>
    <row r="190" ht="27.75" customHeight="1" x14ac:dyDescent="0.2"/>
    <row r="191" ht="27.75" customHeight="1" x14ac:dyDescent="0.2"/>
    <row r="192" ht="27.75" customHeight="1" x14ac:dyDescent="0.2"/>
    <row r="193" ht="27.75" customHeight="1" x14ac:dyDescent="0.2"/>
    <row r="194" ht="27.75" customHeight="1" x14ac:dyDescent="0.2"/>
    <row r="195" ht="27.75" customHeight="1" x14ac:dyDescent="0.2"/>
    <row r="196" ht="27.75" customHeight="1" x14ac:dyDescent="0.2"/>
    <row r="197" ht="27.75" customHeight="1" x14ac:dyDescent="0.2"/>
    <row r="198" ht="27.75" customHeight="1" x14ac:dyDescent="0.2"/>
    <row r="199" ht="27.75" customHeight="1" x14ac:dyDescent="0.2"/>
    <row r="200" ht="27.75" customHeight="1" x14ac:dyDescent="0.2"/>
    <row r="201" ht="27.75" customHeight="1" x14ac:dyDescent="0.2"/>
    <row r="202" ht="27.75" customHeight="1" x14ac:dyDescent="0.2"/>
    <row r="203" ht="27.75" customHeight="1" x14ac:dyDescent="0.2"/>
    <row r="204" ht="27.75" customHeight="1" x14ac:dyDescent="0.2"/>
    <row r="205" ht="27.75" customHeight="1" x14ac:dyDescent="0.2"/>
    <row r="206" ht="27.75" customHeight="1" x14ac:dyDescent="0.2"/>
    <row r="207" ht="27.75" customHeight="1" x14ac:dyDescent="0.2"/>
    <row r="208" ht="27.75" customHeight="1" x14ac:dyDescent="0.2"/>
    <row r="209" ht="27.75" customHeight="1" x14ac:dyDescent="0.2"/>
    <row r="210" ht="27.75" customHeight="1" x14ac:dyDescent="0.2"/>
    <row r="211" ht="27.75" customHeight="1" x14ac:dyDescent="0.2"/>
    <row r="212" ht="27.75" customHeight="1" x14ac:dyDescent="0.2"/>
    <row r="213" ht="27.75" customHeight="1" x14ac:dyDescent="0.2"/>
    <row r="214" ht="27.75" customHeight="1" x14ac:dyDescent="0.2"/>
    <row r="215" ht="27.75" customHeight="1" x14ac:dyDescent="0.2"/>
    <row r="216" ht="27.75" customHeight="1" x14ac:dyDescent="0.2"/>
    <row r="217" ht="27.75" customHeight="1" x14ac:dyDescent="0.2"/>
    <row r="218" ht="27.75" customHeight="1" x14ac:dyDescent="0.2"/>
    <row r="219" ht="27.75" customHeight="1" x14ac:dyDescent="0.2"/>
    <row r="220" ht="27.75" customHeight="1" x14ac:dyDescent="0.2"/>
    <row r="221" ht="27.75" customHeight="1" x14ac:dyDescent="0.2"/>
    <row r="222" ht="27.75" customHeight="1" x14ac:dyDescent="0.2"/>
    <row r="223" ht="27.75" customHeight="1" x14ac:dyDescent="0.2"/>
    <row r="224" ht="27.75" customHeight="1" x14ac:dyDescent="0.2"/>
    <row r="225" ht="27.75" customHeight="1" x14ac:dyDescent="0.2"/>
    <row r="226" ht="27.75" customHeight="1" x14ac:dyDescent="0.2"/>
    <row r="227" ht="27.75" customHeight="1" x14ac:dyDescent="0.2"/>
    <row r="228" ht="27.75" customHeight="1" x14ac:dyDescent="0.2"/>
    <row r="229" ht="27.75" customHeight="1" x14ac:dyDescent="0.2"/>
    <row r="230" ht="27.75" customHeight="1" x14ac:dyDescent="0.2"/>
    <row r="231" ht="27.75" customHeight="1" x14ac:dyDescent="0.2"/>
    <row r="232" ht="27.75" customHeight="1" x14ac:dyDescent="0.2"/>
    <row r="233" ht="27.75" customHeight="1" x14ac:dyDescent="0.2"/>
    <row r="234" ht="27.75" customHeight="1" x14ac:dyDescent="0.2"/>
    <row r="235" ht="27.75" customHeight="1" x14ac:dyDescent="0.2"/>
    <row r="236" ht="27.75" customHeight="1" x14ac:dyDescent="0.2"/>
    <row r="237" ht="27.75" customHeight="1" x14ac:dyDescent="0.2"/>
    <row r="238" ht="27.75" customHeight="1" x14ac:dyDescent="0.2"/>
    <row r="239" ht="27.75" customHeight="1" x14ac:dyDescent="0.2"/>
    <row r="240" ht="27.75" customHeight="1" x14ac:dyDescent="0.2"/>
    <row r="241" ht="27.75" customHeight="1" x14ac:dyDescent="0.2"/>
    <row r="242" ht="27.75" customHeight="1" x14ac:dyDescent="0.2"/>
    <row r="243" ht="27.75" customHeight="1" x14ac:dyDescent="0.2"/>
    <row r="244" ht="27.75" customHeight="1" x14ac:dyDescent="0.2"/>
    <row r="245" ht="27.75" customHeight="1" x14ac:dyDescent="0.2"/>
    <row r="246" ht="27.75" customHeight="1" x14ac:dyDescent="0.2"/>
    <row r="247" ht="27.75" customHeight="1" x14ac:dyDescent="0.2"/>
    <row r="248" ht="27.75" customHeight="1" x14ac:dyDescent="0.2"/>
    <row r="249" ht="27.75" customHeight="1" x14ac:dyDescent="0.2"/>
    <row r="250" ht="27.75" customHeight="1" x14ac:dyDescent="0.2"/>
    <row r="251" ht="27.75" customHeight="1" x14ac:dyDescent="0.2"/>
    <row r="252" ht="27.75" customHeight="1" x14ac:dyDescent="0.2"/>
    <row r="253" ht="27.75" customHeight="1" x14ac:dyDescent="0.2"/>
    <row r="254" ht="27.75" customHeight="1" x14ac:dyDescent="0.2"/>
    <row r="255" ht="27.75" customHeight="1" x14ac:dyDescent="0.2"/>
    <row r="256" ht="27.75" customHeight="1" x14ac:dyDescent="0.2"/>
    <row r="257" ht="27.75" customHeight="1" x14ac:dyDescent="0.2"/>
    <row r="258" ht="27.75" customHeight="1" x14ac:dyDescent="0.2"/>
    <row r="259" ht="27.75" customHeight="1" x14ac:dyDescent="0.2"/>
    <row r="260" ht="27.75" customHeight="1" x14ac:dyDescent="0.2"/>
    <row r="261" ht="27.75" customHeight="1" x14ac:dyDescent="0.2"/>
    <row r="262" ht="27.75" customHeight="1" x14ac:dyDescent="0.2"/>
    <row r="263" ht="27.75" customHeight="1" x14ac:dyDescent="0.2"/>
    <row r="264" ht="27.75" customHeight="1" x14ac:dyDescent="0.2"/>
    <row r="265" ht="27.75" customHeight="1" x14ac:dyDescent="0.2"/>
    <row r="266" ht="27.75" customHeight="1" x14ac:dyDescent="0.2"/>
    <row r="267" ht="27.75" customHeight="1" x14ac:dyDescent="0.2"/>
    <row r="268" ht="27.75" customHeight="1" x14ac:dyDescent="0.2"/>
    <row r="269" ht="27.75" customHeight="1" x14ac:dyDescent="0.2"/>
    <row r="270" ht="27.75" customHeight="1" x14ac:dyDescent="0.2"/>
    <row r="271" ht="27.75" customHeight="1" x14ac:dyDescent="0.2"/>
    <row r="272" ht="27.75" customHeight="1" x14ac:dyDescent="0.2"/>
    <row r="273" ht="27.75" customHeight="1" x14ac:dyDescent="0.2"/>
    <row r="274" ht="27.75" customHeight="1" x14ac:dyDescent="0.2"/>
    <row r="275" ht="27.75" customHeight="1" x14ac:dyDescent="0.2"/>
    <row r="276" ht="27.75" customHeight="1" x14ac:dyDescent="0.2"/>
    <row r="277" ht="27.75" customHeight="1" x14ac:dyDescent="0.2"/>
    <row r="278" ht="27.75" customHeight="1" x14ac:dyDescent="0.2"/>
    <row r="279" ht="27.75" customHeight="1" x14ac:dyDescent="0.2"/>
    <row r="280" ht="27.75" customHeight="1" x14ac:dyDescent="0.2"/>
    <row r="281" ht="27.75" customHeight="1" x14ac:dyDescent="0.2"/>
    <row r="282" ht="27.75" customHeight="1" x14ac:dyDescent="0.2"/>
    <row r="283" ht="27.75" customHeight="1" x14ac:dyDescent="0.2"/>
    <row r="284" ht="27.75" customHeight="1" x14ac:dyDescent="0.2"/>
    <row r="285" ht="27.75" customHeight="1" x14ac:dyDescent="0.2"/>
    <row r="286" ht="27.75" customHeight="1" x14ac:dyDescent="0.2"/>
    <row r="287" ht="27.75" customHeight="1" x14ac:dyDescent="0.2"/>
    <row r="288" ht="27.75" customHeight="1" x14ac:dyDescent="0.2"/>
    <row r="289" ht="27.75" customHeight="1" x14ac:dyDescent="0.2"/>
    <row r="290" ht="27.75" customHeight="1" x14ac:dyDescent="0.2"/>
    <row r="291" ht="27.75" customHeight="1" x14ac:dyDescent="0.2"/>
    <row r="292" ht="27.75" customHeight="1" x14ac:dyDescent="0.2"/>
    <row r="293" ht="27.75" customHeight="1" x14ac:dyDescent="0.2"/>
    <row r="294" ht="27.75" customHeight="1" x14ac:dyDescent="0.2"/>
    <row r="295" ht="27.75" customHeight="1" x14ac:dyDescent="0.2"/>
    <row r="296" ht="27.75" customHeight="1" x14ac:dyDescent="0.2"/>
    <row r="297" ht="27.75" customHeight="1" x14ac:dyDescent="0.2"/>
    <row r="298" ht="27.75" customHeight="1" x14ac:dyDescent="0.2"/>
    <row r="299" ht="27.75" customHeight="1" x14ac:dyDescent="0.2"/>
    <row r="300" ht="27.75" customHeight="1" x14ac:dyDescent="0.2"/>
    <row r="301" ht="27.75" customHeight="1" x14ac:dyDescent="0.2"/>
    <row r="302" ht="27.75" customHeight="1" x14ac:dyDescent="0.2"/>
    <row r="303" ht="27.75" customHeight="1" x14ac:dyDescent="0.2"/>
    <row r="304" ht="27.75" customHeight="1" x14ac:dyDescent="0.2"/>
    <row r="305" ht="27.75" customHeight="1" x14ac:dyDescent="0.2"/>
    <row r="306" ht="27.75" customHeight="1" x14ac:dyDescent="0.2"/>
    <row r="307" ht="27.75" customHeight="1" x14ac:dyDescent="0.2"/>
    <row r="308" ht="27.75" customHeight="1" x14ac:dyDescent="0.2"/>
    <row r="309" ht="27.75" customHeight="1" x14ac:dyDescent="0.2"/>
    <row r="310" ht="27.75" customHeight="1" x14ac:dyDescent="0.2"/>
    <row r="311" ht="27.75" customHeight="1" x14ac:dyDescent="0.2"/>
    <row r="312" ht="27.75" customHeight="1" x14ac:dyDescent="0.2"/>
    <row r="313" ht="27.75" customHeight="1" x14ac:dyDescent="0.2"/>
    <row r="314" ht="27.75" customHeight="1" x14ac:dyDescent="0.2"/>
    <row r="315" ht="27.75" customHeight="1" x14ac:dyDescent="0.2"/>
    <row r="316" ht="27.75" customHeight="1" x14ac:dyDescent="0.2"/>
    <row r="317" ht="27.75" customHeight="1" x14ac:dyDescent="0.2"/>
    <row r="318" ht="27.75" customHeight="1" x14ac:dyDescent="0.2"/>
    <row r="319" ht="27.75" customHeight="1" x14ac:dyDescent="0.2"/>
    <row r="320" ht="27.75" customHeight="1" x14ac:dyDescent="0.2"/>
    <row r="321" ht="27.75" customHeight="1" x14ac:dyDescent="0.2"/>
    <row r="322" ht="27.75" customHeight="1" x14ac:dyDescent="0.2"/>
    <row r="323" ht="27.75" customHeight="1" x14ac:dyDescent="0.2"/>
    <row r="324" ht="27.75" customHeight="1" x14ac:dyDescent="0.2"/>
    <row r="325" ht="27.75" customHeight="1" x14ac:dyDescent="0.2"/>
    <row r="326" ht="27.75" customHeight="1" x14ac:dyDescent="0.2"/>
    <row r="327" ht="27.75" customHeight="1" x14ac:dyDescent="0.2"/>
    <row r="328" ht="27.75" customHeight="1" x14ac:dyDescent="0.2"/>
    <row r="329" ht="27.75" customHeight="1" x14ac:dyDescent="0.2"/>
    <row r="330" ht="27.75" customHeight="1" x14ac:dyDescent="0.2"/>
    <row r="331" ht="27.75" customHeight="1" x14ac:dyDescent="0.2"/>
    <row r="332" ht="27.75" customHeight="1" x14ac:dyDescent="0.2"/>
    <row r="333" ht="27.75" customHeight="1" x14ac:dyDescent="0.2"/>
    <row r="334" ht="27.75" customHeight="1" x14ac:dyDescent="0.2"/>
    <row r="335" ht="27.75" customHeight="1" x14ac:dyDescent="0.2"/>
    <row r="336" ht="27.75" customHeight="1" x14ac:dyDescent="0.2"/>
    <row r="337" ht="27.75" customHeight="1" x14ac:dyDescent="0.2"/>
    <row r="338" ht="27.75" customHeight="1" x14ac:dyDescent="0.2"/>
    <row r="339" ht="27.75" customHeight="1" x14ac:dyDescent="0.2"/>
    <row r="340" ht="27.75" customHeight="1" x14ac:dyDescent="0.2"/>
    <row r="341" ht="27.75" customHeight="1" x14ac:dyDescent="0.2"/>
    <row r="342" ht="27.75" customHeight="1" x14ac:dyDescent="0.2"/>
    <row r="343" ht="27.75" customHeight="1" x14ac:dyDescent="0.2"/>
    <row r="344" ht="27.75" customHeight="1" x14ac:dyDescent="0.2"/>
    <row r="345" ht="27.75" customHeight="1" x14ac:dyDescent="0.2"/>
    <row r="346" ht="27.75" customHeight="1" x14ac:dyDescent="0.2"/>
    <row r="347" ht="27.75" customHeight="1" x14ac:dyDescent="0.2"/>
    <row r="348" ht="27.75" customHeight="1" x14ac:dyDescent="0.2"/>
    <row r="349" ht="27.75" customHeight="1" x14ac:dyDescent="0.2"/>
    <row r="350" ht="27.75" customHeight="1" x14ac:dyDescent="0.2"/>
    <row r="351" ht="27.75" customHeight="1" x14ac:dyDescent="0.2"/>
    <row r="352" ht="27.75" customHeight="1" x14ac:dyDescent="0.2"/>
    <row r="353" ht="27.75" customHeight="1" x14ac:dyDescent="0.2"/>
    <row r="354" ht="27.75" customHeight="1" x14ac:dyDescent="0.2"/>
    <row r="355" ht="27.75" customHeight="1" x14ac:dyDescent="0.2"/>
    <row r="356" ht="27.75" customHeight="1" x14ac:dyDescent="0.2"/>
    <row r="357" ht="27.75" customHeight="1" x14ac:dyDescent="0.2"/>
    <row r="358" ht="27.75" customHeight="1" x14ac:dyDescent="0.2"/>
    <row r="359" ht="27.75" customHeight="1" x14ac:dyDescent="0.2"/>
    <row r="360" ht="27.75" customHeight="1" x14ac:dyDescent="0.2"/>
    <row r="361" ht="27.75" customHeight="1" x14ac:dyDescent="0.2"/>
    <row r="362" ht="27.75" customHeight="1" x14ac:dyDescent="0.2"/>
    <row r="363" ht="27.75" customHeight="1" x14ac:dyDescent="0.2"/>
    <row r="364" ht="27.75" customHeight="1" x14ac:dyDescent="0.2"/>
    <row r="365" ht="27.75" customHeight="1" x14ac:dyDescent="0.2"/>
    <row r="366" ht="27.75" customHeight="1" x14ac:dyDescent="0.2"/>
    <row r="367" ht="27.75" customHeight="1" x14ac:dyDescent="0.2"/>
    <row r="368" ht="27.75" customHeight="1" x14ac:dyDescent="0.2"/>
    <row r="369" ht="27.75" customHeight="1" x14ac:dyDescent="0.2"/>
    <row r="370" ht="27.75" customHeight="1" x14ac:dyDescent="0.2"/>
    <row r="371" ht="27.75" customHeight="1" x14ac:dyDescent="0.2"/>
    <row r="372" ht="27.75" customHeight="1" x14ac:dyDescent="0.2"/>
    <row r="373" ht="27.75" customHeight="1" x14ac:dyDescent="0.2"/>
    <row r="374" ht="27.75" customHeight="1" x14ac:dyDescent="0.2"/>
    <row r="375" ht="27.75" customHeight="1" x14ac:dyDescent="0.2"/>
    <row r="376" ht="27.75" customHeight="1" x14ac:dyDescent="0.2"/>
    <row r="377" ht="27.75" customHeight="1" x14ac:dyDescent="0.2"/>
    <row r="378" ht="27.75" customHeight="1" x14ac:dyDescent="0.2"/>
    <row r="379" ht="27.75" customHeight="1" x14ac:dyDescent="0.2"/>
    <row r="380" ht="27.75" customHeight="1" x14ac:dyDescent="0.2"/>
    <row r="381" ht="27.75" customHeight="1" x14ac:dyDescent="0.2"/>
    <row r="382" ht="27.75" customHeight="1" x14ac:dyDescent="0.2"/>
    <row r="383" ht="27.75" customHeight="1" x14ac:dyDescent="0.2"/>
    <row r="384" ht="27.75" customHeight="1" x14ac:dyDescent="0.2"/>
    <row r="385" ht="27.75" customHeight="1" x14ac:dyDescent="0.2"/>
    <row r="386" ht="27.75" customHeight="1" x14ac:dyDescent="0.2"/>
    <row r="387" ht="27.75" customHeight="1" x14ac:dyDescent="0.2"/>
    <row r="388" ht="27.75" customHeight="1" x14ac:dyDescent="0.2"/>
    <row r="389" ht="27.75" customHeight="1" x14ac:dyDescent="0.2"/>
    <row r="390" ht="27.75" customHeight="1" x14ac:dyDescent="0.2"/>
    <row r="391" ht="27.75" customHeight="1" x14ac:dyDescent="0.2"/>
    <row r="392" ht="27.75" customHeight="1" x14ac:dyDescent="0.2"/>
    <row r="393" ht="27.75" customHeight="1" x14ac:dyDescent="0.2"/>
    <row r="394" ht="27.75" customHeight="1" x14ac:dyDescent="0.2"/>
    <row r="395" ht="27.75" customHeight="1" x14ac:dyDescent="0.2"/>
    <row r="396" ht="27.75" customHeight="1" x14ac:dyDescent="0.2"/>
    <row r="397" ht="27.75" customHeight="1" x14ac:dyDescent="0.2"/>
    <row r="398" ht="27.75" customHeight="1" x14ac:dyDescent="0.2"/>
    <row r="399" ht="27.75" customHeight="1" x14ac:dyDescent="0.2"/>
    <row r="400" ht="27.75" customHeight="1" x14ac:dyDescent="0.2"/>
    <row r="401" ht="27.75" customHeight="1" x14ac:dyDescent="0.2"/>
    <row r="402" ht="27.75" customHeight="1" x14ac:dyDescent="0.2"/>
    <row r="403" ht="27.75" customHeight="1" x14ac:dyDescent="0.2"/>
    <row r="404" ht="27.75" customHeight="1" x14ac:dyDescent="0.2"/>
    <row r="405" ht="27.75" customHeight="1" x14ac:dyDescent="0.2"/>
    <row r="406" ht="27.75" customHeight="1" x14ac:dyDescent="0.2"/>
    <row r="407" ht="27.75" customHeight="1" x14ac:dyDescent="0.2"/>
    <row r="408" ht="27.75" customHeight="1" x14ac:dyDescent="0.2"/>
    <row r="409" ht="27.75" customHeight="1" x14ac:dyDescent="0.2"/>
    <row r="410" ht="27.75" customHeight="1" x14ac:dyDescent="0.2"/>
    <row r="411" ht="27.75" customHeight="1" x14ac:dyDescent="0.2"/>
    <row r="412" ht="27.75" customHeight="1" x14ac:dyDescent="0.2"/>
    <row r="413" ht="27.75" customHeight="1" x14ac:dyDescent="0.2"/>
    <row r="414" ht="27.75" customHeight="1" x14ac:dyDescent="0.2"/>
    <row r="415" ht="27.75" customHeight="1" x14ac:dyDescent="0.2"/>
    <row r="416" ht="27.75" customHeight="1" x14ac:dyDescent="0.2"/>
    <row r="417" ht="27.75" customHeight="1" x14ac:dyDescent="0.2"/>
    <row r="418" ht="27.75" customHeight="1" x14ac:dyDescent="0.2"/>
    <row r="419" ht="27.75" customHeight="1" x14ac:dyDescent="0.2"/>
    <row r="420" ht="27.75" customHeight="1" x14ac:dyDescent="0.2"/>
    <row r="421" ht="27.75" customHeight="1" x14ac:dyDescent="0.2"/>
    <row r="422" ht="27.75" customHeight="1" x14ac:dyDescent="0.2"/>
    <row r="423" ht="27.75" customHeight="1" x14ac:dyDescent="0.2"/>
    <row r="424" ht="27.75" customHeight="1" x14ac:dyDescent="0.2"/>
    <row r="425" ht="27.75" customHeight="1" x14ac:dyDescent="0.2"/>
    <row r="426" ht="27.75" customHeight="1" x14ac:dyDescent="0.2"/>
    <row r="427" ht="27.75" customHeight="1" x14ac:dyDescent="0.2"/>
    <row r="428" ht="27.75" customHeight="1" x14ac:dyDescent="0.2"/>
    <row r="429" ht="27.75" customHeight="1" x14ac:dyDescent="0.2"/>
    <row r="430" ht="27.75" customHeight="1" x14ac:dyDescent="0.2"/>
    <row r="431" ht="27.75" customHeight="1" x14ac:dyDescent="0.2"/>
    <row r="432" ht="27.75" customHeight="1" x14ac:dyDescent="0.2"/>
    <row r="433" ht="27.75" customHeight="1" x14ac:dyDescent="0.2"/>
    <row r="434" ht="27.75" customHeight="1" x14ac:dyDescent="0.2"/>
    <row r="435" ht="27.75" customHeight="1" x14ac:dyDescent="0.2"/>
    <row r="436" ht="27.75" customHeight="1" x14ac:dyDescent="0.2"/>
    <row r="437" ht="27.75" customHeight="1" x14ac:dyDescent="0.2"/>
    <row r="438" ht="27.75" customHeight="1" x14ac:dyDescent="0.2"/>
    <row r="439" ht="27.75" customHeight="1" x14ac:dyDescent="0.2"/>
    <row r="440" ht="27.75" customHeight="1" x14ac:dyDescent="0.2"/>
    <row r="441" ht="27.75" customHeight="1" x14ac:dyDescent="0.2"/>
    <row r="442" ht="27.75" customHeight="1" x14ac:dyDescent="0.2"/>
    <row r="443" ht="27.75" customHeight="1" x14ac:dyDescent="0.2"/>
    <row r="444" ht="27.75" customHeight="1" x14ac:dyDescent="0.2"/>
    <row r="445" ht="27.75" customHeight="1" x14ac:dyDescent="0.2"/>
    <row r="446" ht="27.75" customHeight="1" x14ac:dyDescent="0.2"/>
    <row r="447" ht="27.75" customHeight="1" x14ac:dyDescent="0.2"/>
    <row r="448" ht="27.75" customHeight="1" x14ac:dyDescent="0.2"/>
    <row r="449" ht="27.75" customHeight="1" x14ac:dyDescent="0.2"/>
    <row r="450" ht="27.75" customHeight="1" x14ac:dyDescent="0.2"/>
    <row r="451" ht="27.75" customHeight="1" x14ac:dyDescent="0.2"/>
    <row r="452" ht="27.75" customHeight="1" x14ac:dyDescent="0.2"/>
    <row r="453" ht="27.75" customHeight="1" x14ac:dyDescent="0.2"/>
    <row r="454" ht="27.75" customHeight="1" x14ac:dyDescent="0.2"/>
    <row r="455" ht="27.75" customHeight="1" x14ac:dyDescent="0.2"/>
    <row r="456" ht="27.75" customHeight="1" x14ac:dyDescent="0.2"/>
    <row r="457" ht="27.75" customHeight="1" x14ac:dyDescent="0.2"/>
    <row r="458" ht="27.75" customHeight="1" x14ac:dyDescent="0.2"/>
    <row r="459" ht="27.75" customHeight="1" x14ac:dyDescent="0.2"/>
    <row r="460" ht="27.75" customHeight="1" x14ac:dyDescent="0.2"/>
    <row r="461" ht="27.75" customHeight="1" x14ac:dyDescent="0.2"/>
    <row r="462" ht="27.75" customHeight="1" x14ac:dyDescent="0.2"/>
    <row r="463" ht="27.75" customHeight="1" x14ac:dyDescent="0.2"/>
    <row r="464" ht="27.75" customHeight="1" x14ac:dyDescent="0.2"/>
    <row r="465" ht="27.75" customHeight="1" x14ac:dyDescent="0.2"/>
    <row r="466" ht="27.75" customHeight="1" x14ac:dyDescent="0.2"/>
    <row r="467" ht="27.75" customHeight="1" x14ac:dyDescent="0.2"/>
    <row r="468" ht="27.75" customHeight="1" x14ac:dyDescent="0.2"/>
    <row r="469" ht="27.75" customHeight="1" x14ac:dyDescent="0.2"/>
    <row r="470" ht="27.75" customHeight="1" x14ac:dyDescent="0.2"/>
    <row r="471" ht="27.75" customHeight="1" x14ac:dyDescent="0.2"/>
    <row r="472" ht="27.75" customHeight="1" x14ac:dyDescent="0.2"/>
    <row r="473" ht="27.75" customHeight="1" x14ac:dyDescent="0.2"/>
    <row r="474" ht="27.75" customHeight="1" x14ac:dyDescent="0.2"/>
    <row r="475" ht="27.75" customHeight="1" x14ac:dyDescent="0.2"/>
    <row r="476" ht="27.75" customHeight="1" x14ac:dyDescent="0.2"/>
    <row r="477" ht="27.75" customHeight="1" x14ac:dyDescent="0.2"/>
    <row r="478" ht="27.75" customHeight="1" x14ac:dyDescent="0.2"/>
    <row r="479" ht="27.75" customHeight="1" x14ac:dyDescent="0.2"/>
    <row r="480" ht="27.75" customHeight="1" x14ac:dyDescent="0.2"/>
    <row r="481" ht="27.75" customHeight="1" x14ac:dyDescent="0.2"/>
    <row r="482" ht="27.75" customHeight="1" x14ac:dyDescent="0.2"/>
    <row r="483" ht="27.75" customHeight="1" x14ac:dyDescent="0.2"/>
    <row r="484" ht="27.75" customHeight="1" x14ac:dyDescent="0.2"/>
    <row r="485" ht="27.75" customHeight="1" x14ac:dyDescent="0.2"/>
    <row r="486" ht="27.75" customHeight="1" x14ac:dyDescent="0.2"/>
    <row r="487" ht="27.75" customHeight="1" x14ac:dyDescent="0.2"/>
    <row r="488" ht="27.75" customHeight="1" x14ac:dyDescent="0.2"/>
    <row r="489" ht="27.75" customHeight="1" x14ac:dyDescent="0.2"/>
    <row r="490" ht="27.75" customHeight="1" x14ac:dyDescent="0.2"/>
    <row r="491" ht="27.75" customHeight="1" x14ac:dyDescent="0.2"/>
    <row r="492" ht="27.75" customHeight="1" x14ac:dyDescent="0.2"/>
    <row r="493" ht="27.75" customHeight="1" x14ac:dyDescent="0.2"/>
    <row r="494" ht="27.75" customHeight="1" x14ac:dyDescent="0.2"/>
    <row r="495" ht="27.75" customHeight="1" x14ac:dyDescent="0.2"/>
    <row r="496" ht="27.75" customHeight="1" x14ac:dyDescent="0.2"/>
    <row r="497" ht="27.75" customHeight="1" x14ac:dyDescent="0.2"/>
    <row r="498" ht="27.75" customHeight="1" x14ac:dyDescent="0.2"/>
    <row r="499" ht="27.75" customHeight="1" x14ac:dyDescent="0.2"/>
    <row r="500" ht="27.75" customHeight="1" x14ac:dyDescent="0.2"/>
    <row r="501" ht="27.75" customHeight="1" x14ac:dyDescent="0.2"/>
    <row r="502" ht="27.75" customHeight="1" x14ac:dyDescent="0.2"/>
    <row r="503" ht="27.75" customHeight="1" x14ac:dyDescent="0.2"/>
    <row r="504" ht="27.75" customHeight="1" x14ac:dyDescent="0.2"/>
    <row r="505" ht="27.75" customHeight="1" x14ac:dyDescent="0.2"/>
    <row r="506" ht="27.75" customHeight="1" x14ac:dyDescent="0.2"/>
    <row r="507" ht="27.75" customHeight="1" x14ac:dyDescent="0.2"/>
    <row r="508" ht="27.75" customHeight="1" x14ac:dyDescent="0.2"/>
    <row r="509" ht="27.75" customHeight="1" x14ac:dyDescent="0.2"/>
    <row r="510" ht="27.75" customHeight="1" x14ac:dyDescent="0.2"/>
    <row r="511" ht="27.75" customHeight="1" x14ac:dyDescent="0.2"/>
    <row r="512" ht="27.75" customHeight="1" x14ac:dyDescent="0.2"/>
    <row r="513" ht="27.75" customHeight="1" x14ac:dyDescent="0.2"/>
    <row r="514" ht="27.75" customHeight="1" x14ac:dyDescent="0.2"/>
    <row r="515" ht="27.75" customHeight="1" x14ac:dyDescent="0.2"/>
    <row r="516" ht="27.75" customHeight="1" x14ac:dyDescent="0.2"/>
    <row r="517" ht="27.75" customHeight="1" x14ac:dyDescent="0.2"/>
    <row r="518" ht="27.75" customHeight="1" x14ac:dyDescent="0.2"/>
    <row r="519" ht="27.75" customHeight="1" x14ac:dyDescent="0.2"/>
    <row r="520" ht="27.75" customHeight="1" x14ac:dyDescent="0.2"/>
    <row r="521" ht="27.75" customHeight="1" x14ac:dyDescent="0.2"/>
    <row r="522" ht="27.75" customHeight="1" x14ac:dyDescent="0.2"/>
    <row r="523" ht="27.75" customHeight="1" x14ac:dyDescent="0.2"/>
    <row r="524" ht="27.75" customHeight="1" x14ac:dyDescent="0.2"/>
    <row r="525" ht="27.75" customHeight="1" x14ac:dyDescent="0.2"/>
    <row r="526" ht="27.75" customHeight="1" x14ac:dyDescent="0.2"/>
    <row r="527" ht="27.75" customHeight="1" x14ac:dyDescent="0.2"/>
    <row r="528" ht="27.75" customHeight="1" x14ac:dyDescent="0.2"/>
    <row r="529" ht="27.75" customHeight="1" x14ac:dyDescent="0.2"/>
    <row r="530" ht="27.75" customHeight="1" x14ac:dyDescent="0.2"/>
    <row r="531" ht="27.75" customHeight="1" x14ac:dyDescent="0.2"/>
    <row r="532" ht="27.75" customHeight="1" x14ac:dyDescent="0.2"/>
    <row r="533" ht="27.75" customHeight="1" x14ac:dyDescent="0.2"/>
    <row r="534" ht="27.75" customHeight="1" x14ac:dyDescent="0.2"/>
    <row r="535" ht="27.75" customHeight="1" x14ac:dyDescent="0.2"/>
    <row r="536" ht="27.75" customHeight="1" x14ac:dyDescent="0.2"/>
    <row r="537" ht="27.75" customHeight="1" x14ac:dyDescent="0.2"/>
    <row r="538" ht="27.75" customHeight="1" x14ac:dyDescent="0.2"/>
    <row r="539" ht="27.75" customHeight="1" x14ac:dyDescent="0.2"/>
    <row r="540" ht="27.75" customHeight="1" x14ac:dyDescent="0.2"/>
    <row r="541" ht="27.75" customHeight="1" x14ac:dyDescent="0.2"/>
    <row r="542" ht="27.75" customHeight="1" x14ac:dyDescent="0.2"/>
    <row r="543" ht="27.75" customHeight="1" x14ac:dyDescent="0.2"/>
    <row r="544" ht="27.75" customHeight="1" x14ac:dyDescent="0.2"/>
    <row r="545" ht="27.75" customHeight="1" x14ac:dyDescent="0.2"/>
    <row r="546" ht="27.75" customHeight="1" x14ac:dyDescent="0.2"/>
    <row r="547" ht="27.75" customHeight="1" x14ac:dyDescent="0.2"/>
    <row r="548" ht="27.75" customHeight="1" x14ac:dyDescent="0.2"/>
    <row r="549" ht="27.75" customHeight="1" x14ac:dyDescent="0.2"/>
    <row r="550" ht="27.75" customHeight="1" x14ac:dyDescent="0.2"/>
    <row r="551" ht="27.75" customHeight="1" x14ac:dyDescent="0.2"/>
    <row r="552" ht="27.75" customHeight="1" x14ac:dyDescent="0.2"/>
    <row r="553" ht="27.75" customHeight="1" x14ac:dyDescent="0.2"/>
    <row r="554" ht="27.75" customHeight="1" x14ac:dyDescent="0.2"/>
    <row r="555" ht="27.75" customHeight="1" x14ac:dyDescent="0.2"/>
    <row r="556" ht="27.75" customHeight="1" x14ac:dyDescent="0.2"/>
    <row r="557" ht="27.75" customHeight="1" x14ac:dyDescent="0.2"/>
    <row r="558" ht="27.75" customHeight="1" x14ac:dyDescent="0.2"/>
    <row r="559" ht="27.75" customHeight="1" x14ac:dyDescent="0.2"/>
    <row r="560" ht="27.75" customHeight="1" x14ac:dyDescent="0.2"/>
    <row r="561" ht="27.75" customHeight="1" x14ac:dyDescent="0.2"/>
    <row r="562" ht="27.75" customHeight="1" x14ac:dyDescent="0.2"/>
    <row r="563" ht="27.75" customHeight="1" x14ac:dyDescent="0.2"/>
    <row r="564" ht="27.75" customHeight="1" x14ac:dyDescent="0.2"/>
    <row r="565" ht="27.75" customHeight="1" x14ac:dyDescent="0.2"/>
    <row r="566" ht="27.75" customHeight="1" x14ac:dyDescent="0.2"/>
    <row r="567" ht="27.75" customHeight="1" x14ac:dyDescent="0.2"/>
    <row r="568" ht="27.75" customHeight="1" x14ac:dyDescent="0.2"/>
    <row r="569" ht="27.75" customHeight="1" x14ac:dyDescent="0.2"/>
    <row r="570" ht="27.75" customHeight="1" x14ac:dyDescent="0.2"/>
    <row r="571" ht="27.75" customHeight="1" x14ac:dyDescent="0.2"/>
    <row r="572" ht="27.75" customHeight="1" x14ac:dyDescent="0.2"/>
    <row r="573" ht="27.75" customHeight="1" x14ac:dyDescent="0.2"/>
    <row r="574" ht="27.75" customHeight="1" x14ac:dyDescent="0.2"/>
    <row r="575" ht="27.75" customHeight="1" x14ac:dyDescent="0.2"/>
    <row r="576" ht="27.75" customHeight="1" x14ac:dyDescent="0.2"/>
    <row r="577" ht="27.75" customHeight="1" x14ac:dyDescent="0.2"/>
    <row r="578" ht="27.75" customHeight="1" x14ac:dyDescent="0.2"/>
    <row r="579" ht="27.75" customHeight="1" x14ac:dyDescent="0.2"/>
    <row r="580" ht="27.75" customHeight="1" x14ac:dyDescent="0.2"/>
    <row r="581" ht="27.75" customHeight="1" x14ac:dyDescent="0.2"/>
    <row r="582" ht="27.75" customHeight="1" x14ac:dyDescent="0.2"/>
    <row r="583" ht="27.75" customHeight="1" x14ac:dyDescent="0.2"/>
    <row r="584" ht="27.75" customHeight="1" x14ac:dyDescent="0.2"/>
    <row r="585" ht="27.75" customHeight="1" x14ac:dyDescent="0.2"/>
    <row r="586" ht="27.75" customHeight="1" x14ac:dyDescent="0.2"/>
    <row r="587" ht="27.75" customHeight="1" x14ac:dyDescent="0.2"/>
    <row r="588" ht="27.75" customHeight="1" x14ac:dyDescent="0.2"/>
    <row r="589" ht="27.75" customHeight="1" x14ac:dyDescent="0.2"/>
    <row r="590" ht="27.75" customHeight="1" x14ac:dyDescent="0.2"/>
    <row r="591" ht="27.75" customHeight="1" x14ac:dyDescent="0.2"/>
    <row r="592" ht="27.75" customHeight="1" x14ac:dyDescent="0.2"/>
    <row r="593" ht="27.75" customHeight="1" x14ac:dyDescent="0.2"/>
    <row r="594" ht="27.75" customHeight="1" x14ac:dyDescent="0.2"/>
    <row r="595" ht="27.75" customHeight="1" x14ac:dyDescent="0.2"/>
    <row r="596" ht="27.75" customHeight="1" x14ac:dyDescent="0.2"/>
    <row r="597" ht="27.75" customHeight="1" x14ac:dyDescent="0.2"/>
    <row r="598" ht="27.75" customHeight="1" x14ac:dyDescent="0.2"/>
    <row r="599" ht="27.75" customHeight="1" x14ac:dyDescent="0.2"/>
    <row r="600" ht="27.75" customHeight="1" x14ac:dyDescent="0.2"/>
    <row r="601" ht="27.75" customHeight="1" x14ac:dyDescent="0.2"/>
    <row r="602" ht="27.75" customHeight="1" x14ac:dyDescent="0.2"/>
    <row r="603" ht="27.75" customHeight="1" x14ac:dyDescent="0.2"/>
    <row r="604" ht="27.75" customHeight="1" x14ac:dyDescent="0.2"/>
    <row r="605" ht="27.75" customHeight="1" x14ac:dyDescent="0.2"/>
    <row r="606" ht="27.75" customHeight="1" x14ac:dyDescent="0.2"/>
    <row r="607" ht="27.75" customHeight="1" x14ac:dyDescent="0.2"/>
    <row r="608" ht="27.75" customHeight="1" x14ac:dyDescent="0.2"/>
    <row r="609" ht="27.75" customHeight="1" x14ac:dyDescent="0.2"/>
    <row r="610" ht="27.75" customHeight="1" x14ac:dyDescent="0.2"/>
    <row r="611" ht="27.75" customHeight="1" x14ac:dyDescent="0.2"/>
    <row r="612" ht="27.75" customHeight="1" x14ac:dyDescent="0.2"/>
    <row r="613" ht="27.75" customHeight="1" x14ac:dyDescent="0.2"/>
    <row r="614" ht="27.75" customHeight="1" x14ac:dyDescent="0.2"/>
    <row r="615" ht="27.75" customHeight="1" x14ac:dyDescent="0.2"/>
    <row r="616" ht="27.75" customHeight="1" x14ac:dyDescent="0.2"/>
    <row r="617" ht="27.75" customHeight="1" x14ac:dyDescent="0.2"/>
    <row r="618" ht="27.75" customHeight="1" x14ac:dyDescent="0.2"/>
    <row r="619" ht="27.75" customHeight="1" x14ac:dyDescent="0.2"/>
    <row r="620" ht="27.75" customHeight="1" x14ac:dyDescent="0.2"/>
    <row r="621" ht="27.75" customHeight="1" x14ac:dyDescent="0.2"/>
    <row r="622" ht="27.75" customHeight="1" x14ac:dyDescent="0.2"/>
    <row r="623" ht="27.75" customHeight="1" x14ac:dyDescent="0.2"/>
    <row r="624" ht="27.75" customHeight="1" x14ac:dyDescent="0.2"/>
    <row r="625" ht="27.75" customHeight="1" x14ac:dyDescent="0.2"/>
    <row r="626" ht="27.75" customHeight="1" x14ac:dyDescent="0.2"/>
    <row r="627" ht="27.75" customHeight="1" x14ac:dyDescent="0.2"/>
    <row r="628" ht="27.75" customHeight="1" x14ac:dyDescent="0.2"/>
    <row r="629" ht="27.75" customHeight="1" x14ac:dyDescent="0.2"/>
    <row r="630" ht="27.75" customHeight="1" x14ac:dyDescent="0.2"/>
    <row r="631" ht="27.75" customHeight="1" x14ac:dyDescent="0.2"/>
    <row r="632" ht="27.75" customHeight="1" x14ac:dyDescent="0.2"/>
    <row r="633" ht="27.75" customHeight="1" x14ac:dyDescent="0.2"/>
    <row r="634" ht="27.75" customHeight="1" x14ac:dyDescent="0.2"/>
    <row r="635" ht="27.75" customHeight="1" x14ac:dyDescent="0.2"/>
    <row r="636" ht="27.75" customHeight="1" x14ac:dyDescent="0.2"/>
    <row r="637" ht="27.75" customHeight="1" x14ac:dyDescent="0.2"/>
    <row r="638" ht="27.75" customHeight="1" x14ac:dyDescent="0.2"/>
    <row r="639" ht="27.75" customHeight="1" x14ac:dyDescent="0.2"/>
    <row r="640" ht="27.75" customHeight="1" x14ac:dyDescent="0.2"/>
    <row r="641" ht="27.75" customHeight="1" x14ac:dyDescent="0.2"/>
    <row r="642" ht="27.75" customHeight="1" x14ac:dyDescent="0.2"/>
    <row r="643" ht="27.75" customHeight="1" x14ac:dyDescent="0.2"/>
    <row r="644" ht="27.75" customHeight="1" x14ac:dyDescent="0.2"/>
    <row r="645" ht="27.75" customHeight="1" x14ac:dyDescent="0.2"/>
    <row r="646" ht="27.75" customHeight="1" x14ac:dyDescent="0.2"/>
    <row r="647" ht="27.75" customHeight="1" x14ac:dyDescent="0.2"/>
    <row r="648" ht="27.75" customHeight="1" x14ac:dyDescent="0.2"/>
    <row r="649" ht="27.75" customHeight="1" x14ac:dyDescent="0.2"/>
    <row r="650" ht="27.75" customHeight="1" x14ac:dyDescent="0.2"/>
    <row r="651" ht="27.75" customHeight="1" x14ac:dyDescent="0.2"/>
    <row r="652" ht="27.75" customHeight="1" x14ac:dyDescent="0.2"/>
    <row r="653" ht="27.75" customHeight="1" x14ac:dyDescent="0.2"/>
    <row r="654" ht="27.75" customHeight="1" x14ac:dyDescent="0.2"/>
    <row r="655" ht="27.75" customHeight="1" x14ac:dyDescent="0.2"/>
    <row r="656" ht="27.75" customHeight="1" x14ac:dyDescent="0.2"/>
    <row r="657" ht="27.75" customHeight="1" x14ac:dyDescent="0.2"/>
    <row r="658" ht="27.75" customHeight="1" x14ac:dyDescent="0.2"/>
    <row r="659" ht="27.75" customHeight="1" x14ac:dyDescent="0.2"/>
    <row r="660" ht="27.75" customHeight="1" x14ac:dyDescent="0.2"/>
    <row r="661" ht="27.75" customHeight="1" x14ac:dyDescent="0.2"/>
    <row r="662" ht="27.75" customHeight="1" x14ac:dyDescent="0.2"/>
    <row r="663" ht="27.75" customHeight="1" x14ac:dyDescent="0.2"/>
    <row r="664" ht="27.75" customHeight="1" x14ac:dyDescent="0.2"/>
    <row r="665" ht="27.75" customHeight="1" x14ac:dyDescent="0.2"/>
    <row r="666" ht="27.75" customHeight="1" x14ac:dyDescent="0.2"/>
    <row r="667" ht="27.75" customHeight="1" x14ac:dyDescent="0.2"/>
    <row r="668" ht="27.75" customHeight="1" x14ac:dyDescent="0.2"/>
    <row r="669" ht="27.75" customHeight="1" x14ac:dyDescent="0.2"/>
    <row r="670" ht="27.75" customHeight="1" x14ac:dyDescent="0.2"/>
    <row r="671" ht="27.75" customHeight="1" x14ac:dyDescent="0.2"/>
    <row r="672" ht="27.75" customHeight="1" x14ac:dyDescent="0.2"/>
    <row r="673" ht="27.75" customHeight="1" x14ac:dyDescent="0.2"/>
    <row r="674" ht="27.75" customHeight="1" x14ac:dyDescent="0.2"/>
    <row r="675" ht="27.75" customHeight="1" x14ac:dyDescent="0.2"/>
    <row r="676" ht="27.75" customHeight="1" x14ac:dyDescent="0.2"/>
    <row r="677" ht="27.75" customHeight="1" x14ac:dyDescent="0.2"/>
    <row r="678" ht="27.75" customHeight="1" x14ac:dyDescent="0.2"/>
    <row r="679" ht="27.75" customHeight="1" x14ac:dyDescent="0.2"/>
    <row r="680" ht="27.75" customHeight="1" x14ac:dyDescent="0.2"/>
    <row r="681" ht="27.75" customHeight="1" x14ac:dyDescent="0.2"/>
    <row r="682" ht="27.75" customHeight="1" x14ac:dyDescent="0.2"/>
    <row r="683" ht="27.75" customHeight="1" x14ac:dyDescent="0.2"/>
    <row r="684" ht="27.75" customHeight="1" x14ac:dyDescent="0.2"/>
    <row r="685" ht="27.75" customHeight="1" x14ac:dyDescent="0.2"/>
    <row r="686" ht="27.75" customHeight="1" x14ac:dyDescent="0.2"/>
    <row r="687" ht="27.75" customHeight="1" x14ac:dyDescent="0.2"/>
    <row r="688" ht="27.75" customHeight="1" x14ac:dyDescent="0.2"/>
    <row r="689" ht="27.75" customHeight="1" x14ac:dyDescent="0.2"/>
    <row r="690" ht="27.75" customHeight="1" x14ac:dyDescent="0.2"/>
    <row r="691" ht="27.75" customHeight="1" x14ac:dyDescent="0.2"/>
    <row r="692" ht="27.75" customHeight="1" x14ac:dyDescent="0.2"/>
    <row r="693" ht="27.75" customHeight="1" x14ac:dyDescent="0.2"/>
    <row r="694" ht="27.75" customHeight="1" x14ac:dyDescent="0.2"/>
    <row r="695" ht="27.75" customHeight="1" x14ac:dyDescent="0.2"/>
    <row r="696" ht="27.75" customHeight="1" x14ac:dyDescent="0.2"/>
    <row r="697" ht="27.75" customHeight="1" x14ac:dyDescent="0.2"/>
    <row r="698" ht="27.75" customHeight="1" x14ac:dyDescent="0.2"/>
    <row r="699" ht="27.75" customHeight="1" x14ac:dyDescent="0.2"/>
    <row r="700" ht="27.75" customHeight="1" x14ac:dyDescent="0.2"/>
    <row r="701" ht="27.75" customHeight="1" x14ac:dyDescent="0.2"/>
    <row r="702" ht="27.75" customHeight="1" x14ac:dyDescent="0.2"/>
    <row r="703" ht="27.75" customHeight="1" x14ac:dyDescent="0.2"/>
    <row r="704" ht="27.75" customHeight="1" x14ac:dyDescent="0.2"/>
    <row r="705" ht="27.75" customHeight="1" x14ac:dyDescent="0.2"/>
    <row r="706" ht="27.75" customHeight="1" x14ac:dyDescent="0.2"/>
    <row r="707" ht="27.75" customHeight="1" x14ac:dyDescent="0.2"/>
    <row r="708" ht="27.75" customHeight="1" x14ac:dyDescent="0.2"/>
    <row r="709" ht="27.75" customHeight="1" x14ac:dyDescent="0.2"/>
    <row r="710" ht="27.75" customHeight="1" x14ac:dyDescent="0.2"/>
    <row r="711" ht="27.75" customHeight="1" x14ac:dyDescent="0.2"/>
    <row r="712" ht="27.75" customHeight="1" x14ac:dyDescent="0.2"/>
    <row r="713" ht="27.75" customHeight="1" x14ac:dyDescent="0.2"/>
    <row r="714" ht="27.75" customHeight="1" x14ac:dyDescent="0.2"/>
    <row r="715" ht="27.75" customHeight="1" x14ac:dyDescent="0.2"/>
    <row r="716" ht="27.75" customHeight="1" x14ac:dyDescent="0.2"/>
    <row r="717" ht="27.75" customHeight="1" x14ac:dyDescent="0.2"/>
    <row r="718" ht="27.75" customHeight="1" x14ac:dyDescent="0.2"/>
    <row r="719" ht="27.75" customHeight="1" x14ac:dyDescent="0.2"/>
    <row r="720" ht="27.75" customHeight="1" x14ac:dyDescent="0.2"/>
    <row r="721" ht="27.75" customHeight="1" x14ac:dyDescent="0.2"/>
    <row r="722" ht="27.75" customHeight="1" x14ac:dyDescent="0.2"/>
    <row r="723" ht="27.75" customHeight="1" x14ac:dyDescent="0.2"/>
    <row r="724" ht="27.75" customHeight="1" x14ac:dyDescent="0.2"/>
    <row r="725" ht="27.75" customHeight="1" x14ac:dyDescent="0.2"/>
    <row r="726" ht="27.75" customHeight="1" x14ac:dyDescent="0.2"/>
    <row r="727" ht="27.75" customHeight="1" x14ac:dyDescent="0.2"/>
    <row r="728" ht="27.75" customHeight="1" x14ac:dyDescent="0.2"/>
    <row r="729" ht="27.75" customHeight="1" x14ac:dyDescent="0.2"/>
    <row r="730" ht="27.75" customHeight="1" x14ac:dyDescent="0.2"/>
    <row r="731" ht="27.75" customHeight="1" x14ac:dyDescent="0.2"/>
    <row r="732" ht="27.75" customHeight="1" x14ac:dyDescent="0.2"/>
    <row r="733" ht="27.75" customHeight="1" x14ac:dyDescent="0.2"/>
    <row r="734" ht="27.75" customHeight="1" x14ac:dyDescent="0.2"/>
    <row r="735" ht="27.75" customHeight="1" x14ac:dyDescent="0.2"/>
    <row r="736" ht="27.75" customHeight="1" x14ac:dyDescent="0.2"/>
    <row r="737" ht="27.75" customHeight="1" x14ac:dyDescent="0.2"/>
    <row r="738" ht="27.75" customHeight="1" x14ac:dyDescent="0.2"/>
    <row r="739" ht="27.75" customHeight="1" x14ac:dyDescent="0.2"/>
    <row r="740" ht="27.75" customHeight="1" x14ac:dyDescent="0.2"/>
    <row r="741" ht="27.75" customHeight="1" x14ac:dyDescent="0.2"/>
    <row r="742" ht="27.75" customHeight="1" x14ac:dyDescent="0.2"/>
    <row r="743" ht="27.75" customHeight="1" x14ac:dyDescent="0.2"/>
    <row r="744" ht="27.75" customHeight="1" x14ac:dyDescent="0.2"/>
    <row r="745" ht="27.75" customHeight="1" x14ac:dyDescent="0.2"/>
    <row r="746" ht="27.75" customHeight="1" x14ac:dyDescent="0.2"/>
    <row r="747" ht="27.75" customHeight="1" x14ac:dyDescent="0.2"/>
    <row r="748" ht="27.75" customHeight="1" x14ac:dyDescent="0.2"/>
    <row r="749" ht="27.75" customHeight="1" x14ac:dyDescent="0.2"/>
    <row r="750" ht="27.75" customHeight="1" x14ac:dyDescent="0.2"/>
    <row r="751" ht="27.75" customHeight="1" x14ac:dyDescent="0.2"/>
    <row r="752" ht="27.75" customHeight="1" x14ac:dyDescent="0.2"/>
    <row r="753" ht="27.75" customHeight="1" x14ac:dyDescent="0.2"/>
    <row r="754" ht="27.75" customHeight="1" x14ac:dyDescent="0.2"/>
    <row r="755" ht="27.75" customHeight="1" x14ac:dyDescent="0.2"/>
    <row r="756" ht="27.75" customHeight="1" x14ac:dyDescent="0.2"/>
    <row r="757" ht="27.75" customHeight="1" x14ac:dyDescent="0.2"/>
    <row r="758" ht="27.75" customHeight="1" x14ac:dyDescent="0.2"/>
    <row r="759" ht="27.75" customHeight="1" x14ac:dyDescent="0.2"/>
    <row r="760" ht="27.75" customHeight="1" x14ac:dyDescent="0.2"/>
    <row r="761" ht="27.75" customHeight="1" x14ac:dyDescent="0.2"/>
    <row r="762" ht="27.75" customHeight="1" x14ac:dyDescent="0.2"/>
    <row r="763" ht="27.75" customHeight="1" x14ac:dyDescent="0.2"/>
    <row r="764" ht="27.75" customHeight="1" x14ac:dyDescent="0.2"/>
    <row r="765" ht="27.75" customHeight="1" x14ac:dyDescent="0.2"/>
    <row r="766" ht="27.75" customHeight="1" x14ac:dyDescent="0.2"/>
    <row r="767" ht="27.75" customHeight="1" x14ac:dyDescent="0.2"/>
    <row r="768" ht="27.75" customHeight="1" x14ac:dyDescent="0.2"/>
    <row r="769" ht="27.75" customHeight="1" x14ac:dyDescent="0.2"/>
    <row r="770" ht="27.75" customHeight="1" x14ac:dyDescent="0.2"/>
    <row r="771" ht="27.75" customHeight="1" x14ac:dyDescent="0.2"/>
    <row r="772" ht="27.75" customHeight="1" x14ac:dyDescent="0.2"/>
    <row r="773" ht="27.75" customHeight="1" x14ac:dyDescent="0.2"/>
    <row r="774" ht="27.75" customHeight="1" x14ac:dyDescent="0.2"/>
    <row r="775" ht="27.75" customHeight="1" x14ac:dyDescent="0.2"/>
    <row r="776" ht="27.75" customHeight="1" x14ac:dyDescent="0.2"/>
    <row r="777" ht="27.75" customHeight="1" x14ac:dyDescent="0.2"/>
    <row r="778" ht="27.75" customHeight="1" x14ac:dyDescent="0.2"/>
    <row r="779" ht="27.75" customHeight="1" x14ac:dyDescent="0.2"/>
    <row r="780" ht="27.75" customHeight="1" x14ac:dyDescent="0.2"/>
    <row r="781" ht="27.75" customHeight="1" x14ac:dyDescent="0.2"/>
    <row r="782" ht="27.75" customHeight="1" x14ac:dyDescent="0.2"/>
    <row r="783" ht="27.75" customHeight="1" x14ac:dyDescent="0.2"/>
    <row r="784" ht="27.75" customHeight="1" x14ac:dyDescent="0.2"/>
    <row r="785" ht="27.75" customHeight="1" x14ac:dyDescent="0.2"/>
    <row r="786" ht="27.75" customHeight="1" x14ac:dyDescent="0.2"/>
    <row r="787" ht="27.75" customHeight="1" x14ac:dyDescent="0.2"/>
    <row r="788" ht="27.75" customHeight="1" x14ac:dyDescent="0.2"/>
    <row r="789" ht="27.75" customHeight="1" x14ac:dyDescent="0.2"/>
    <row r="790" ht="27.75" customHeight="1" x14ac:dyDescent="0.2"/>
    <row r="791" ht="27.75" customHeight="1" x14ac:dyDescent="0.2"/>
    <row r="792" ht="27.75" customHeight="1" x14ac:dyDescent="0.2"/>
    <row r="793" ht="27.75" customHeight="1" x14ac:dyDescent="0.2"/>
    <row r="794" ht="27.75" customHeight="1" x14ac:dyDescent="0.2"/>
    <row r="795" ht="27.75" customHeight="1" x14ac:dyDescent="0.2"/>
    <row r="796" ht="27.75" customHeight="1" x14ac:dyDescent="0.2"/>
    <row r="797" ht="27.75" customHeight="1" x14ac:dyDescent="0.2"/>
    <row r="798" ht="27.75" customHeight="1" x14ac:dyDescent="0.2"/>
    <row r="799" ht="27.75" customHeight="1" x14ac:dyDescent="0.2"/>
    <row r="800" ht="27.75" customHeight="1" x14ac:dyDescent="0.2"/>
    <row r="801" ht="27.75" customHeight="1" x14ac:dyDescent="0.2"/>
    <row r="802" ht="27.75" customHeight="1" x14ac:dyDescent="0.2"/>
    <row r="803" ht="27.75" customHeight="1" x14ac:dyDescent="0.2"/>
    <row r="804" ht="27.75" customHeight="1" x14ac:dyDescent="0.2"/>
    <row r="805" ht="27.75" customHeight="1" x14ac:dyDescent="0.2"/>
    <row r="806" ht="27.75" customHeight="1" x14ac:dyDescent="0.2"/>
    <row r="807" ht="27.75" customHeight="1" x14ac:dyDescent="0.2"/>
    <row r="808" ht="27.75" customHeight="1" x14ac:dyDescent="0.2"/>
    <row r="809" ht="27.75" customHeight="1" x14ac:dyDescent="0.2"/>
    <row r="810" ht="27.75" customHeight="1" x14ac:dyDescent="0.2"/>
    <row r="811" ht="27.75" customHeight="1" x14ac:dyDescent="0.2"/>
    <row r="812" ht="27.75" customHeight="1" x14ac:dyDescent="0.2"/>
    <row r="813" ht="27.75" customHeight="1" x14ac:dyDescent="0.2"/>
    <row r="814" ht="27.75" customHeight="1" x14ac:dyDescent="0.2"/>
    <row r="815" ht="27.75" customHeight="1" x14ac:dyDescent="0.2"/>
    <row r="816" ht="27.75" customHeight="1" x14ac:dyDescent="0.2"/>
    <row r="817" ht="27.75" customHeight="1" x14ac:dyDescent="0.2"/>
    <row r="818" ht="27.75" customHeight="1" x14ac:dyDescent="0.2"/>
    <row r="819" ht="27.75" customHeight="1" x14ac:dyDescent="0.2"/>
    <row r="820" ht="27.75" customHeight="1" x14ac:dyDescent="0.2"/>
    <row r="821" ht="27.75" customHeight="1" x14ac:dyDescent="0.2"/>
    <row r="822" ht="27.75" customHeight="1" x14ac:dyDescent="0.2"/>
    <row r="823" ht="27.75" customHeight="1" x14ac:dyDescent="0.2"/>
    <row r="824" ht="27.75" customHeight="1" x14ac:dyDescent="0.2"/>
    <row r="825" ht="27.75" customHeight="1" x14ac:dyDescent="0.2"/>
    <row r="826" ht="27.75" customHeight="1" x14ac:dyDescent="0.2"/>
    <row r="827" ht="27.75" customHeight="1" x14ac:dyDescent="0.2"/>
    <row r="828" ht="27.75" customHeight="1" x14ac:dyDescent="0.2"/>
    <row r="829" ht="27.75" customHeight="1" x14ac:dyDescent="0.2"/>
    <row r="830" ht="27.75" customHeight="1" x14ac:dyDescent="0.2"/>
    <row r="831" ht="27.75" customHeight="1" x14ac:dyDescent="0.2"/>
    <row r="832" ht="27.75" customHeight="1" x14ac:dyDescent="0.2"/>
    <row r="833" ht="27.75" customHeight="1" x14ac:dyDescent="0.2"/>
    <row r="834" ht="27.75" customHeight="1" x14ac:dyDescent="0.2"/>
    <row r="835" ht="27.75" customHeight="1" x14ac:dyDescent="0.2"/>
    <row r="836" ht="27.75" customHeight="1" x14ac:dyDescent="0.2"/>
    <row r="837" ht="27.75" customHeight="1" x14ac:dyDescent="0.2"/>
    <row r="838" ht="27.75" customHeight="1" x14ac:dyDescent="0.2"/>
    <row r="839" ht="27.75" customHeight="1" x14ac:dyDescent="0.2"/>
    <row r="840" ht="27.75" customHeight="1" x14ac:dyDescent="0.2"/>
    <row r="841" ht="27.75" customHeight="1" x14ac:dyDescent="0.2"/>
    <row r="842" ht="27.75" customHeight="1" x14ac:dyDescent="0.2"/>
    <row r="843" ht="27.75" customHeight="1" x14ac:dyDescent="0.2"/>
    <row r="844" ht="27.75" customHeight="1" x14ac:dyDescent="0.2"/>
    <row r="845" ht="27.75" customHeight="1" x14ac:dyDescent="0.2"/>
    <row r="846" ht="27.75" customHeight="1" x14ac:dyDescent="0.2"/>
    <row r="847" ht="27.75" customHeight="1" x14ac:dyDescent="0.2"/>
    <row r="848" ht="27.75" customHeight="1" x14ac:dyDescent="0.2"/>
    <row r="849" ht="27.75" customHeight="1" x14ac:dyDescent="0.2"/>
    <row r="850" ht="27.75" customHeight="1" x14ac:dyDescent="0.2"/>
    <row r="851" ht="27.75" customHeight="1" x14ac:dyDescent="0.2"/>
    <row r="852" ht="27.75" customHeight="1" x14ac:dyDescent="0.2"/>
    <row r="853" ht="27.75" customHeight="1" x14ac:dyDescent="0.2"/>
    <row r="854" ht="27.75" customHeight="1" x14ac:dyDescent="0.2"/>
    <row r="855" ht="27.75" customHeight="1" x14ac:dyDescent="0.2"/>
    <row r="856" ht="27.75" customHeight="1" x14ac:dyDescent="0.2"/>
    <row r="857" ht="27.75" customHeight="1" x14ac:dyDescent="0.2"/>
    <row r="858" ht="27.75" customHeight="1" x14ac:dyDescent="0.2"/>
    <row r="859" ht="27.75" customHeight="1" x14ac:dyDescent="0.2"/>
    <row r="860" ht="27.75" customHeight="1" x14ac:dyDescent="0.2"/>
    <row r="861" ht="27.75" customHeight="1" x14ac:dyDescent="0.2"/>
    <row r="862" ht="27.75" customHeight="1" x14ac:dyDescent="0.2"/>
    <row r="863" ht="27.75" customHeight="1" x14ac:dyDescent="0.2"/>
    <row r="864" ht="27.75" customHeight="1" x14ac:dyDescent="0.2"/>
    <row r="865" ht="27.75" customHeight="1" x14ac:dyDescent="0.2"/>
    <row r="866" ht="27.75" customHeight="1" x14ac:dyDescent="0.2"/>
    <row r="867" ht="27.75" customHeight="1" x14ac:dyDescent="0.2"/>
    <row r="868" ht="27.75" customHeight="1" x14ac:dyDescent="0.2"/>
    <row r="869" ht="27.75" customHeight="1" x14ac:dyDescent="0.2"/>
    <row r="870" ht="27.75" customHeight="1" x14ac:dyDescent="0.2"/>
    <row r="871" ht="27.75" customHeight="1" x14ac:dyDescent="0.2"/>
    <row r="872" ht="27.75" customHeight="1" x14ac:dyDescent="0.2"/>
    <row r="873" ht="27.75" customHeight="1" x14ac:dyDescent="0.2"/>
    <row r="874" ht="27.75" customHeight="1" x14ac:dyDescent="0.2"/>
    <row r="875" ht="27.75" customHeight="1" x14ac:dyDescent="0.2"/>
    <row r="876" ht="27.75" customHeight="1" x14ac:dyDescent="0.2"/>
    <row r="877" ht="27.75" customHeight="1" x14ac:dyDescent="0.2"/>
    <row r="878" ht="27.75" customHeight="1" x14ac:dyDescent="0.2"/>
    <row r="879" ht="27.75" customHeight="1" x14ac:dyDescent="0.2"/>
    <row r="880" ht="27.75" customHeight="1" x14ac:dyDescent="0.2"/>
    <row r="881" ht="27.75" customHeight="1" x14ac:dyDescent="0.2"/>
    <row r="882" ht="27.75" customHeight="1" x14ac:dyDescent="0.2"/>
    <row r="883" ht="27.75" customHeight="1" x14ac:dyDescent="0.2"/>
    <row r="884" ht="27.75" customHeight="1" x14ac:dyDescent="0.2"/>
    <row r="885" ht="27.75" customHeight="1" x14ac:dyDescent="0.2"/>
    <row r="886" ht="27.75" customHeight="1" x14ac:dyDescent="0.2"/>
    <row r="887" ht="27.75" customHeight="1" x14ac:dyDescent="0.2"/>
    <row r="888" ht="27.75" customHeight="1" x14ac:dyDescent="0.2"/>
    <row r="889" ht="27.75" customHeight="1" x14ac:dyDescent="0.2"/>
    <row r="890" ht="27.75" customHeight="1" x14ac:dyDescent="0.2"/>
    <row r="891" ht="27.75" customHeight="1" x14ac:dyDescent="0.2"/>
    <row r="892" ht="27.75" customHeight="1" x14ac:dyDescent="0.2"/>
    <row r="893" ht="27.75" customHeight="1" x14ac:dyDescent="0.2"/>
    <row r="894" ht="27.75" customHeight="1" x14ac:dyDescent="0.2"/>
    <row r="895" ht="27.75" customHeight="1" x14ac:dyDescent="0.2"/>
    <row r="896" ht="27.75" customHeight="1" x14ac:dyDescent="0.2"/>
    <row r="897" ht="27.75" customHeight="1" x14ac:dyDescent="0.2"/>
    <row r="898" ht="27.75" customHeight="1" x14ac:dyDescent="0.2"/>
    <row r="899" ht="27.75" customHeight="1" x14ac:dyDescent="0.2"/>
    <row r="900" ht="27.75" customHeight="1" x14ac:dyDescent="0.2"/>
    <row r="901" ht="27.75" customHeight="1" x14ac:dyDescent="0.2"/>
    <row r="902" ht="27.75" customHeight="1" x14ac:dyDescent="0.2"/>
    <row r="903" ht="27.75" customHeight="1" x14ac:dyDescent="0.2"/>
    <row r="904" ht="27.75" customHeight="1" x14ac:dyDescent="0.2"/>
    <row r="905" ht="27.75" customHeight="1" x14ac:dyDescent="0.2"/>
    <row r="906" ht="27.75" customHeight="1" x14ac:dyDescent="0.2"/>
    <row r="907" ht="27.75" customHeight="1" x14ac:dyDescent="0.2"/>
    <row r="908" ht="27.75" customHeight="1" x14ac:dyDescent="0.2"/>
    <row r="909" ht="27.75" customHeight="1" x14ac:dyDescent="0.2"/>
    <row r="910" ht="27.75" customHeight="1" x14ac:dyDescent="0.2"/>
    <row r="911" ht="27.75" customHeight="1" x14ac:dyDescent="0.2"/>
    <row r="912" ht="27.75" customHeight="1" x14ac:dyDescent="0.2"/>
    <row r="913" ht="27.75" customHeight="1" x14ac:dyDescent="0.2"/>
    <row r="914" ht="27.75" customHeight="1" x14ac:dyDescent="0.2"/>
    <row r="915" ht="27.75" customHeight="1" x14ac:dyDescent="0.2"/>
    <row r="916" ht="27.75" customHeight="1" x14ac:dyDescent="0.2"/>
    <row r="917" ht="27.75" customHeight="1" x14ac:dyDescent="0.2"/>
    <row r="918" ht="27.75" customHeight="1" x14ac:dyDescent="0.2"/>
    <row r="919" ht="27.75" customHeight="1" x14ac:dyDescent="0.2"/>
    <row r="920" ht="27.75" customHeight="1" x14ac:dyDescent="0.2"/>
    <row r="921" ht="27.75" customHeight="1" x14ac:dyDescent="0.2"/>
    <row r="922" ht="27.75" customHeight="1" x14ac:dyDescent="0.2"/>
    <row r="923" ht="27.75" customHeight="1" x14ac:dyDescent="0.2"/>
    <row r="924" ht="27.75" customHeight="1" x14ac:dyDescent="0.2"/>
    <row r="925" ht="27.75" customHeight="1" x14ac:dyDescent="0.2"/>
    <row r="926" ht="27.75" customHeight="1" x14ac:dyDescent="0.2"/>
    <row r="927" ht="27.75" customHeight="1" x14ac:dyDescent="0.2"/>
    <row r="928" ht="27.75" customHeight="1" x14ac:dyDescent="0.2"/>
    <row r="929" ht="27.75" customHeight="1" x14ac:dyDescent="0.2"/>
    <row r="930" ht="27.75" customHeight="1" x14ac:dyDescent="0.2"/>
    <row r="931" ht="27.75" customHeight="1" x14ac:dyDescent="0.2"/>
    <row r="932" ht="27.75" customHeight="1" x14ac:dyDescent="0.2"/>
    <row r="933" ht="27.75" customHeight="1" x14ac:dyDescent="0.2"/>
    <row r="934" ht="27.75" customHeight="1" x14ac:dyDescent="0.2"/>
    <row r="935" ht="27.75" customHeight="1" x14ac:dyDescent="0.2"/>
    <row r="936" ht="27.75" customHeight="1" x14ac:dyDescent="0.2"/>
    <row r="937" ht="27.75" customHeight="1" x14ac:dyDescent="0.2"/>
    <row r="938" ht="27.75" customHeight="1" x14ac:dyDescent="0.2"/>
    <row r="939" ht="27.75" customHeight="1" x14ac:dyDescent="0.2"/>
    <row r="940" ht="27.75" customHeight="1" x14ac:dyDescent="0.2"/>
    <row r="941" ht="27.75" customHeight="1" x14ac:dyDescent="0.2"/>
    <row r="942" ht="27.75" customHeight="1" x14ac:dyDescent="0.2"/>
    <row r="943" ht="27.75" customHeight="1" x14ac:dyDescent="0.2"/>
    <row r="944" ht="27.75" customHeight="1" x14ac:dyDescent="0.2"/>
    <row r="945" ht="27.75" customHeight="1" x14ac:dyDescent="0.2"/>
    <row r="946" ht="27.75" customHeight="1" x14ac:dyDescent="0.2"/>
    <row r="947" ht="27.75" customHeight="1" x14ac:dyDescent="0.2"/>
    <row r="948" ht="27.75" customHeight="1" x14ac:dyDescent="0.2"/>
    <row r="949" ht="27.75" customHeight="1" x14ac:dyDescent="0.2"/>
    <row r="950" ht="27.75" customHeight="1" x14ac:dyDescent="0.2"/>
    <row r="951" ht="27.75" customHeight="1" x14ac:dyDescent="0.2"/>
    <row r="952" ht="27.75" customHeight="1" x14ac:dyDescent="0.2"/>
    <row r="953" ht="27.75" customHeight="1" x14ac:dyDescent="0.2"/>
    <row r="954" ht="27.75" customHeight="1" x14ac:dyDescent="0.2"/>
    <row r="955" ht="27.75" customHeight="1" x14ac:dyDescent="0.2"/>
    <row r="956" ht="27.75" customHeight="1" x14ac:dyDescent="0.2"/>
    <row r="957" ht="27.75" customHeight="1" x14ac:dyDescent="0.2"/>
    <row r="958" ht="27.75" customHeight="1" x14ac:dyDescent="0.2"/>
    <row r="959" ht="27.75" customHeight="1" x14ac:dyDescent="0.2"/>
    <row r="960" ht="27.75" customHeight="1" x14ac:dyDescent="0.2"/>
    <row r="961" ht="27.75" customHeight="1" x14ac:dyDescent="0.2"/>
    <row r="962" ht="27.75" customHeight="1" x14ac:dyDescent="0.2"/>
    <row r="963" ht="27.75" customHeight="1" x14ac:dyDescent="0.2"/>
    <row r="964" ht="27.75" customHeight="1" x14ac:dyDescent="0.2"/>
    <row r="965" ht="27.75" customHeight="1" x14ac:dyDescent="0.2"/>
    <row r="966" ht="27.75" customHeight="1" x14ac:dyDescent="0.2"/>
    <row r="967" ht="27.75" customHeight="1" x14ac:dyDescent="0.2"/>
    <row r="968" ht="27.75" customHeight="1" x14ac:dyDescent="0.2"/>
    <row r="969" ht="27.75" customHeight="1" x14ac:dyDescent="0.2"/>
    <row r="970" ht="27.75" customHeight="1" x14ac:dyDescent="0.2"/>
    <row r="971" ht="27.75" customHeight="1" x14ac:dyDescent="0.2"/>
    <row r="972" ht="27.75" customHeight="1" x14ac:dyDescent="0.2"/>
    <row r="973" ht="27.75" customHeight="1" x14ac:dyDescent="0.2"/>
    <row r="974" ht="27.75" customHeight="1" x14ac:dyDescent="0.2"/>
    <row r="975" ht="27.75" customHeight="1" x14ac:dyDescent="0.2"/>
    <row r="976" ht="27.75" customHeight="1" x14ac:dyDescent="0.2"/>
    <row r="977" ht="27.75" customHeight="1" x14ac:dyDescent="0.2"/>
    <row r="978" ht="27.75" customHeight="1" x14ac:dyDescent="0.2"/>
    <row r="979" ht="27.75" customHeight="1" x14ac:dyDescent="0.2"/>
    <row r="980" ht="27.75" customHeight="1" x14ac:dyDescent="0.2"/>
    <row r="981" ht="27.75" customHeight="1" x14ac:dyDescent="0.2"/>
    <row r="982" ht="27.75" customHeight="1" x14ac:dyDescent="0.2"/>
    <row r="983" ht="27.75" customHeight="1" x14ac:dyDescent="0.2"/>
    <row r="984" ht="27.75" customHeight="1" x14ac:dyDescent="0.2"/>
    <row r="985" ht="27.75" customHeight="1" x14ac:dyDescent="0.2"/>
    <row r="986" ht="27.75" customHeight="1" x14ac:dyDescent="0.2"/>
    <row r="987" ht="27.75" customHeight="1" x14ac:dyDescent="0.2"/>
    <row r="988" ht="27.75" customHeight="1" x14ac:dyDescent="0.2"/>
    <row r="989" ht="27.75" customHeight="1" x14ac:dyDescent="0.2"/>
    <row r="990" ht="27.75" customHeight="1" x14ac:dyDescent="0.2"/>
    <row r="991" ht="27.75" customHeight="1" x14ac:dyDescent="0.2"/>
    <row r="992" ht="27.75" customHeight="1" x14ac:dyDescent="0.2"/>
    <row r="993" ht="27.75" customHeight="1" x14ac:dyDescent="0.2"/>
    <row r="994" ht="27.75" customHeight="1" x14ac:dyDescent="0.2"/>
    <row r="995" ht="27.75" customHeight="1" x14ac:dyDescent="0.2"/>
    <row r="996" ht="27.75" customHeight="1" x14ac:dyDescent="0.2"/>
    <row r="997" ht="27.75" customHeight="1" x14ac:dyDescent="0.2"/>
    <row r="998" ht="27.75" customHeight="1" x14ac:dyDescent="0.2"/>
    <row r="999" ht="27.75" customHeight="1" x14ac:dyDescent="0.2"/>
    <row r="1000" ht="27.75" customHeight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R1014"/>
  <sheetViews>
    <sheetView zoomScale="150" zoomScaleNormal="150" workbookViewId="0">
      <pane xSplit="1" ySplit="1" topLeftCell="B116" activePane="bottomRight" state="frozen"/>
      <selection pane="topRight" activeCell="B1" sqref="B1"/>
      <selection pane="bottomLeft" activeCell="A2" sqref="A2"/>
      <selection pane="bottomRight" activeCell="G8" sqref="G8"/>
    </sheetView>
  </sheetViews>
  <sheetFormatPr defaultColWidth="12.625" defaultRowHeight="15" customHeight="1" x14ac:dyDescent="0.25"/>
  <cols>
    <col min="1" max="1" width="32" customWidth="1"/>
    <col min="2" max="13" width="10.75" customWidth="1"/>
    <col min="14" max="14" width="12.375" bestFit="1" customWidth="1"/>
    <col min="15" max="15" width="18.875" customWidth="1"/>
    <col min="16" max="16" width="18.5" customWidth="1"/>
    <col min="17" max="17" width="17.25" customWidth="1"/>
    <col min="18" max="18" width="55.125" style="122" customWidth="1"/>
    <col min="19" max="24" width="7.625" customWidth="1"/>
  </cols>
  <sheetData>
    <row r="1" spans="1:18" ht="49.5" customHeight="1" x14ac:dyDescent="0.25">
      <c r="A1" s="8" t="s">
        <v>6</v>
      </c>
      <c r="B1" s="8" t="s">
        <v>17</v>
      </c>
      <c r="C1" s="8" t="s">
        <v>18</v>
      </c>
      <c r="D1" s="8" t="s">
        <v>19</v>
      </c>
      <c r="E1" s="8" t="s">
        <v>20</v>
      </c>
      <c r="F1" s="8" t="s">
        <v>21</v>
      </c>
      <c r="G1" s="8" t="s">
        <v>22</v>
      </c>
      <c r="H1" s="8" t="s">
        <v>23</v>
      </c>
      <c r="I1" s="8" t="s">
        <v>24</v>
      </c>
      <c r="J1" s="8" t="s">
        <v>25</v>
      </c>
      <c r="K1" s="8" t="s">
        <v>7</v>
      </c>
      <c r="L1" s="8" t="s">
        <v>8</v>
      </c>
      <c r="M1" s="8" t="s">
        <v>9</v>
      </c>
      <c r="N1" s="8" t="s">
        <v>153</v>
      </c>
      <c r="O1" s="43" t="s">
        <v>171</v>
      </c>
      <c r="P1" s="43" t="s">
        <v>175</v>
      </c>
      <c r="Q1" s="44" t="s">
        <v>176</v>
      </c>
    </row>
    <row r="2" spans="1:18" ht="14.25" customHeight="1" x14ac:dyDescent="0.25">
      <c r="A2" s="14" t="s">
        <v>11</v>
      </c>
      <c r="B2" s="15">
        <f>SUM(Membership!B2+GA!B2+Education!B2+Events!B2+Communications!B2+Admin!B2)</f>
        <v>0</v>
      </c>
      <c r="C2" s="15">
        <f>SUM(Membership!C2+GA!C2+Education!C2+Events!C2+Communications!C2+Admin!C2)</f>
        <v>0</v>
      </c>
      <c r="D2" s="15">
        <f>SUM(Membership!D2+GA!D2+Education!D2+Events!D2+Communications!D2+Admin!D2)</f>
        <v>0</v>
      </c>
      <c r="E2" s="15">
        <f>SUM(Membership!E2+GA!E2+Education!E2+Events!E2+Communications!E2+Admin!E2)</f>
        <v>0</v>
      </c>
      <c r="F2" s="15">
        <f>SUM(Membership!F2+GA!F2+Education!F2+Events!F2+Communications!F2+Admin!F2)</f>
        <v>0</v>
      </c>
      <c r="G2" s="15">
        <f>SUM(Membership!G2+GA!G2+Education!G2+Events!G2+Communications!G2+Admin!G2)</f>
        <v>0</v>
      </c>
      <c r="H2" s="15">
        <f>SUM(Membership!H2+GA!H2+Education!H2+Events!H2+Communications!H2+Admin!H2)</f>
        <v>0</v>
      </c>
      <c r="I2" s="15">
        <f>SUM(Membership!I2+GA!I2+Education!I2+Events!I2+Communications!I2+Admin!I2)</f>
        <v>0</v>
      </c>
      <c r="J2" s="15">
        <f>SUM(Membership!J2+GA!J2+Education!J2+Events!J2+Communications!J2+Admin!J2)</f>
        <v>0</v>
      </c>
      <c r="K2" s="15">
        <f>SUM(Membership!K2+GA!K2+Education!K2+Events!K2+Communications!K2+Admin!K2)</f>
        <v>0</v>
      </c>
      <c r="L2" s="15">
        <f>SUM(Membership!L2+GA!L2+Education!L2+Events!L2+Communications!L2+Admin!L2)</f>
        <v>0</v>
      </c>
      <c r="M2" s="15">
        <f>SUM(Membership!M2+GA!M2+Education!M2+Events!M2+Communications!M2+Admin!M2)</f>
        <v>0</v>
      </c>
    </row>
    <row r="3" spans="1:18" s="34" customFormat="1" ht="14.25" customHeight="1" x14ac:dyDescent="0.25">
      <c r="A3" s="32" t="s">
        <v>26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R3" s="124"/>
    </row>
    <row r="4" spans="1:18" ht="42" customHeight="1" x14ac:dyDescent="0.25">
      <c r="A4" s="16" t="s">
        <v>27</v>
      </c>
      <c r="B4" s="15">
        <f>SUM(Membership!B4+GA!B4+Education!B4+Events!B4+Communications!B4+Admin!B4)</f>
        <v>2535</v>
      </c>
      <c r="C4" s="15">
        <f>SUM(Membership!C4+GA!C4+Education!C4+Events!C4+Communications!C4+Admin!C4)</f>
        <v>0</v>
      </c>
      <c r="D4" s="15">
        <f>SUM(Membership!D4+GA!D4+Education!D4+Events!D4+Communications!D4+Admin!D4)</f>
        <v>5400</v>
      </c>
      <c r="E4" s="15">
        <f>SUM(Membership!E4+GA!E4+Education!E4+Events!E4+Communications!E4+Admin!E4)</f>
        <v>7920</v>
      </c>
      <c r="F4" s="15">
        <f>SUM(Membership!F4+GA!F4+Education!F4+Events!F4+Communications!F4+Admin!F4)</f>
        <v>0</v>
      </c>
      <c r="G4" s="15">
        <f>SUM(Membership!G4+GA!G4+Education!G4+Events!G4+Communications!G4+Admin!G4)</f>
        <v>0</v>
      </c>
      <c r="H4" s="15">
        <f>SUM(Membership!H4+GA!H4+Education!H4+Events!H4+Communications!H4+Admin!H4)</f>
        <v>4225</v>
      </c>
      <c r="I4" s="15">
        <f>SUM(Membership!I4+GA!I4+Education!I4+Events!I4+Communications!I4+Admin!I4)</f>
        <v>0</v>
      </c>
      <c r="J4" s="15">
        <f>SUM(Membership!J4+GA!J4+Education!J4+Events!J4+Communications!J4+Admin!J4)</f>
        <v>0</v>
      </c>
      <c r="K4" s="15">
        <f>SUM(Membership!K4+GA!K4+Education!K4+Events!K4+Communications!K4+Admin!K4)</f>
        <v>2535</v>
      </c>
      <c r="L4" s="15">
        <f>SUM(Membership!L4+GA!L4+Education!L4+Events!L4+Communications!L4+Admin!L4)</f>
        <v>0</v>
      </c>
      <c r="M4" s="15">
        <f>SUM(Membership!M4+GA!M4+Education!M4+Events!M4+Communications!M4+Admin!M4)</f>
        <v>0</v>
      </c>
      <c r="N4" s="15">
        <f>SUM(Membership!N4+GA!N4+Education!N4+Events!N4+Communications!N4+Admin!N4)</f>
        <v>22615</v>
      </c>
      <c r="O4" s="121">
        <f>33256</f>
        <v>33256</v>
      </c>
      <c r="P4" s="121">
        <f>17215</f>
        <v>17215</v>
      </c>
      <c r="Q4" s="121">
        <f>N4-O4</f>
        <v>-10641</v>
      </c>
      <c r="R4" s="123" t="s">
        <v>223</v>
      </c>
    </row>
    <row r="5" spans="1:18" ht="33.75" customHeight="1" x14ac:dyDescent="0.25">
      <c r="A5" s="16" t="s">
        <v>28</v>
      </c>
      <c r="B5" s="15">
        <f>SUM(Membership!B5+GA!B5+Education!H5+Events!B5+Communications!B5+Admin!B5)</f>
        <v>24540</v>
      </c>
      <c r="C5" s="15">
        <f>SUM(Membership!C5+GA!C5+Education!C5+Events!C5+Communications!C5+Admin!C5)</f>
        <v>0</v>
      </c>
      <c r="D5" s="15">
        <f>SUM(Membership!D5+GA!D5+Education!D5+Events!D5+Communications!D5+Admin!D5)</f>
        <v>0</v>
      </c>
      <c r="E5" s="15">
        <f>SUM(Membership!E5+GA!E5+Education!E5+Events!E5+Communications!E5+Admin!E5)</f>
        <v>0</v>
      </c>
      <c r="F5" s="15">
        <f>SUM(Membership!F5+GA!F5+Education!F5+Events!F5+Communications!F5+Admin!F5)</f>
        <v>0</v>
      </c>
      <c r="G5" s="15">
        <f>SUM(Membership!G5+GA!G5+Education!G5+Events!G5+Communications!G5+Admin!G5)</f>
        <v>0</v>
      </c>
      <c r="H5" s="15">
        <f>SUM(Membership!H5+GA!H5+Events!H5+Communications!H5+Admin!H5)</f>
        <v>0</v>
      </c>
      <c r="I5" s="15">
        <f>SUM(Membership!I5+GA!I5+Education!I5+Events!I5+Communications!I5+Admin!I5)</f>
        <v>0</v>
      </c>
      <c r="J5" s="15">
        <f>SUM(Membership!J5+GA!J5+Education!J5+Events!J5+Communications!J5+Admin!J5)</f>
        <v>0</v>
      </c>
      <c r="K5" s="15">
        <f>SUM(Membership!K5+GA!K5+Education!K5+Events!K5+Communications!K5+Admin!K5)</f>
        <v>0</v>
      </c>
      <c r="L5" s="15">
        <f>SUM(Membership!L5+GA!L5+Education!L5+Events!L5+Communications!L5+Admin!L5)</f>
        <v>0</v>
      </c>
      <c r="M5" s="15">
        <f>SUM(Membership!M5+GA!M5+Education!M5+Events!M5+Communications!M5+Admin!M5)</f>
        <v>0</v>
      </c>
      <c r="N5" s="15">
        <f>SUM(Membership!N5+GA!N5+Education!N5+Events!N5+Communications!N5+Admin!N5)</f>
        <v>24540</v>
      </c>
      <c r="O5" s="121">
        <f>17844</f>
        <v>17844</v>
      </c>
      <c r="P5" s="121">
        <f>28520</f>
        <v>28520</v>
      </c>
      <c r="Q5" s="121">
        <f t="shared" ref="Q5:Q9" si="0">N5-O5</f>
        <v>6696</v>
      </c>
      <c r="R5" s="123" t="s">
        <v>225</v>
      </c>
    </row>
    <row r="6" spans="1:18" ht="14.25" customHeight="1" x14ac:dyDescent="0.25">
      <c r="A6" s="16" t="s">
        <v>29</v>
      </c>
      <c r="B6" s="15">
        <f>SUM(Membership!B6+GA!B6+Education!B6+Events!B6+Communications!B6+Admin!B6)</f>
        <v>3242</v>
      </c>
      <c r="C6" s="15">
        <f>SUM(Membership!C6+GA!C6+Education!C6+Events!C6+Communications!C6+Admin!C6)</f>
        <v>5143</v>
      </c>
      <c r="D6" s="15">
        <f>SUM(Membership!D6+GA!D6+Education!D6+Events!D6+Communications!D6+Admin!D6)</f>
        <v>0</v>
      </c>
      <c r="E6" s="15">
        <f>SUM(Membership!E6+GA!E6+Education!E6+Events!E6+Communications!E6+Admin!E6)</f>
        <v>199</v>
      </c>
      <c r="F6" s="15">
        <f>SUM(Membership!F6+GA!F6+Education!F6+Events!F6+Communications!F6+Admin!F6)</f>
        <v>199</v>
      </c>
      <c r="G6" s="15">
        <f>SUM(Membership!G6+GA!G6+Education!G6+Events!G6+Communications!G6+Admin!G6)</f>
        <v>199</v>
      </c>
      <c r="H6" s="15">
        <f>SUM(Membership!H6+GA!H6+Education!H6+Events!H6+Communications!H6+Admin!H6)</f>
        <v>724</v>
      </c>
      <c r="I6" s="15">
        <f>SUM(Membership!I6+GA!I6+Education!I6+Events!I6+Communications!I6+Admin!I6)</f>
        <v>0</v>
      </c>
      <c r="J6" s="15">
        <f>SUM(Membership!J6+GA!J6+Education!J6+Events!J6+Communications!J6+Admin!J6)</f>
        <v>0</v>
      </c>
      <c r="K6" s="15">
        <f>SUM(Membership!K6+GA!K6+Education!K6+Events!K6+Communications!K6+Admin!K6)</f>
        <v>0</v>
      </c>
      <c r="L6" s="15">
        <f>SUM(Membership!L6+GA!L6+Education!L6+Events!L6+Communications!L6+Admin!L6)</f>
        <v>0</v>
      </c>
      <c r="M6" s="15">
        <f>SUM(Membership!M6+GA!M6+Education!M6+Events!M6+Communications!M6+Admin!M6)</f>
        <v>0</v>
      </c>
      <c r="N6" s="15">
        <f>SUM(Membership!N6+GA!N6+Education!N6+Events!N6+Communications!N6+Admin!N6)</f>
        <v>9706</v>
      </c>
      <c r="O6" s="121">
        <f>9706</f>
        <v>9706</v>
      </c>
      <c r="P6" s="121">
        <v>0</v>
      </c>
      <c r="Q6" s="121">
        <f t="shared" si="0"/>
        <v>0</v>
      </c>
      <c r="R6" s="122" t="s">
        <v>226</v>
      </c>
    </row>
    <row r="7" spans="1:18" ht="30.75" customHeight="1" x14ac:dyDescent="0.25">
      <c r="A7" s="16" t="s">
        <v>30</v>
      </c>
      <c r="B7" s="15">
        <f>SUM(Membership!B7+GA!B7+Education!B7+Events!B7+Communications!B7+Admin!B7)</f>
        <v>0</v>
      </c>
      <c r="C7" s="15">
        <f>SUM(Membership!C7+GA!C7+Education!C7+Events!C7+Communications!C7+Admin!C7)</f>
        <v>0</v>
      </c>
      <c r="D7" s="15">
        <f>SUM(Membership!D7+GA!D7+Education!D7+Events!D7+Communications!D7+Admin!D7)</f>
        <v>0</v>
      </c>
      <c r="E7" s="15">
        <f>SUM(Membership!E7+GA!E7+Education!E7+Events!E7+Communications!E7+Admin!E7)</f>
        <v>38500</v>
      </c>
      <c r="F7" s="15">
        <f>SUM(Membership!F7+GA!F7+Education!F7+Events!F7+Communications!F7+Admin!F7)</f>
        <v>33750</v>
      </c>
      <c r="G7" s="15">
        <f>SUM(Membership!G7+GA!G7+Education!G7+Events!G7+Communications!G7+Admin!G7)</f>
        <v>0</v>
      </c>
      <c r="H7" s="15">
        <f>SUM(Membership!H7+GA!H7+Education!H7+Events!H7+Communications!H7+Admin!H7)</f>
        <v>0</v>
      </c>
      <c r="I7" s="15">
        <f>SUM(Membership!I7+GA!I7+Education!I7+Events!I7+Communications!I7+Admin!I7)</f>
        <v>0</v>
      </c>
      <c r="J7" s="15">
        <f>SUM(Membership!J7+GA!J7+Education!J7+Events!J7+Communications!J7+Admin!J7)</f>
        <v>0</v>
      </c>
      <c r="K7" s="15">
        <f>SUM(Membership!K7+GA!K7+Education!K7+Events!K7+Communications!K7+Admin!K7)</f>
        <v>0</v>
      </c>
      <c r="L7" s="15">
        <f>SUM(Membership!L7+GA!L7+Education!L7+Events!L7+Communications!L7+Admin!L7)</f>
        <v>0</v>
      </c>
      <c r="M7" s="15">
        <f>SUM(Membership!M7+GA!M7+Education!M7+Events!M7+Communications!M7+Admin!M7)</f>
        <v>0</v>
      </c>
      <c r="N7" s="15">
        <f>SUM(Membership!N7+GA!N7+Education!N7+Events!N7+Communications!N7+Admin!N7)</f>
        <v>72250</v>
      </c>
      <c r="O7" s="121">
        <f>67164.9</f>
        <v>67164.899999999994</v>
      </c>
      <c r="P7" s="121">
        <f>68400</f>
        <v>68400</v>
      </c>
      <c r="Q7" s="121">
        <f t="shared" si="0"/>
        <v>5085.1000000000058</v>
      </c>
      <c r="R7" s="123" t="s">
        <v>224</v>
      </c>
    </row>
    <row r="8" spans="1:18" ht="87.75" customHeight="1" x14ac:dyDescent="0.25">
      <c r="A8" s="16" t="s">
        <v>31</v>
      </c>
      <c r="B8" s="15">
        <f>SUM(Membership!B8+GA!B8+Education!B8+Events!B8+Communications!B8+Admin!B8)</f>
        <v>8073</v>
      </c>
      <c r="C8" s="15">
        <f>SUM(Membership!C8+GA!C8+Education!C8+Events!C8+Communications!C8+Admin!C8)</f>
        <v>7354</v>
      </c>
      <c r="D8" s="15">
        <f>SUM(Membership!D8+GA!D8+Education!D8+Events!D8+Communications!D8+Admin!D8)</f>
        <v>3750</v>
      </c>
      <c r="E8" s="15">
        <f>SUM(Membership!E8+GA!E8+Education!E8+Events!E8+Communications!E8+Admin!E8)</f>
        <v>2360</v>
      </c>
      <c r="F8" s="15">
        <f>SUM(Membership!F8+GA!F8+Education!F8+Events!F8+Communications!F8+Admin!F8)</f>
        <v>5850</v>
      </c>
      <c r="G8" s="15">
        <f>SUM(Membership!G8+GA!G8+Education!G8+Events!G8+Communications!G8+Admin!G8)</f>
        <v>12600</v>
      </c>
      <c r="H8" s="15">
        <f>SUM(Membership!H8+GA!H8+Education!H8+Events!H8+Communications!H8+Admin!H8)</f>
        <v>10960</v>
      </c>
      <c r="I8" s="15">
        <f>SUM(Membership!I8+GA!I8+Education!I8+Events!I8+Communications!I8+Admin!I8)</f>
        <v>4760</v>
      </c>
      <c r="J8" s="15">
        <f>SUM(Membership!J8+GA!J8+Education!J8+Events!J8+Communications!J8+Admin!J8)</f>
        <v>5440</v>
      </c>
      <c r="K8" s="15">
        <f>SUM(Membership!K8+GA!K8+Education!K8+Events!K8+Communications!K8+Admin!K8)</f>
        <v>7835</v>
      </c>
      <c r="L8" s="15">
        <f>SUM(Membership!L8+GA!L8+Education!L8+Events!L8+Communications!L8+Admin!L8)</f>
        <v>10960</v>
      </c>
      <c r="M8" s="15">
        <f>SUM(Membership!M8+GA!M8+Education!M8+Events!M8+Communications!M8+Admin!M8)</f>
        <v>0</v>
      </c>
      <c r="N8" s="15">
        <f>SUM(Membership!N8+GA!N8+Education!N8+Events!N8+Communications!N8+Admin!N8)</f>
        <v>79942</v>
      </c>
      <c r="O8" s="121">
        <f>90868</f>
        <v>90868</v>
      </c>
      <c r="P8" s="121">
        <f>54203</f>
        <v>54203</v>
      </c>
      <c r="Q8" s="121">
        <f t="shared" si="0"/>
        <v>-10926</v>
      </c>
      <c r="R8" s="123" t="s">
        <v>227</v>
      </c>
    </row>
    <row r="9" spans="1:18" ht="14.25" customHeight="1" x14ac:dyDescent="0.25">
      <c r="A9" s="30" t="s">
        <v>154</v>
      </c>
      <c r="B9" s="31">
        <f>SUM(B3:B8)</f>
        <v>38390</v>
      </c>
      <c r="C9" s="31">
        <f t="shared" ref="C9:M9" si="1">SUM(C3:C8)</f>
        <v>12497</v>
      </c>
      <c r="D9" s="31">
        <f t="shared" si="1"/>
        <v>9150</v>
      </c>
      <c r="E9" s="31">
        <f t="shared" si="1"/>
        <v>48979</v>
      </c>
      <c r="F9" s="31">
        <f t="shared" si="1"/>
        <v>39799</v>
      </c>
      <c r="G9" s="31">
        <f t="shared" si="1"/>
        <v>12799</v>
      </c>
      <c r="H9" s="31">
        <f t="shared" si="1"/>
        <v>15909</v>
      </c>
      <c r="I9" s="31">
        <f t="shared" si="1"/>
        <v>4760</v>
      </c>
      <c r="J9" s="31">
        <f t="shared" si="1"/>
        <v>5440</v>
      </c>
      <c r="K9" s="31">
        <f t="shared" si="1"/>
        <v>10370</v>
      </c>
      <c r="L9" s="31">
        <f t="shared" si="1"/>
        <v>10960</v>
      </c>
      <c r="M9" s="31">
        <f t="shared" si="1"/>
        <v>0</v>
      </c>
      <c r="N9" s="31">
        <f>SUM(B9:M9)</f>
        <v>209053</v>
      </c>
      <c r="O9" s="40">
        <f>SUM(O4:O8)</f>
        <v>218838.9</v>
      </c>
      <c r="P9" s="40">
        <f>SUM(P4:P8)</f>
        <v>168338</v>
      </c>
      <c r="Q9" s="40">
        <f t="shared" si="0"/>
        <v>-9785.8999999999942</v>
      </c>
    </row>
    <row r="10" spans="1:18" s="34" customFormat="1" ht="14.25" customHeight="1" x14ac:dyDescent="0.25">
      <c r="A10" s="32" t="s">
        <v>32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R10" s="124"/>
    </row>
    <row r="11" spans="1:18" ht="14.25" customHeight="1" x14ac:dyDescent="0.25">
      <c r="A11" s="16" t="s">
        <v>33</v>
      </c>
      <c r="B11" s="15">
        <f>SUM(Membership!B10+GA!B10+Education!B10+Events!B10+Communications!B10+Admin!B10)</f>
        <v>0</v>
      </c>
      <c r="C11" s="15">
        <f>SUM(Membership!C10+GA!C10+Education!C10+Events!C10+Communications!C10+Admin!C10)</f>
        <v>0</v>
      </c>
      <c r="D11" s="15">
        <f>SUM(Membership!D10+GA!D10+Education!D10+Events!D10+Communications!D10+Admin!D10)</f>
        <v>0</v>
      </c>
      <c r="E11" s="15">
        <f>SUM(Membership!E10+GA!E10+Education!E10+Events!E10+Communications!E10+Admin!E10)</f>
        <v>0</v>
      </c>
      <c r="F11" s="15">
        <f>SUM(Membership!F10+GA!F10+Education!F10+Events!F10+Communications!F10+Admin!F10)</f>
        <v>0</v>
      </c>
      <c r="G11" s="15">
        <f>SUM(Membership!G10+GA!G10+Education!G10+Events!G10+Communications!G10+Admin!G10)</f>
        <v>0</v>
      </c>
      <c r="H11" s="15">
        <f>SUM(Membership!H10+GA!H10+Education!H10+Events!H10+Communications!H10+Admin!H10)</f>
        <v>0</v>
      </c>
      <c r="I11" s="15">
        <f>SUM(Membership!I10+GA!I10+Education!I10+Events!I10+Communications!I10+Admin!I10)</f>
        <v>0</v>
      </c>
      <c r="J11" s="15">
        <f>SUM(Membership!J10+GA!J10+Education!J10+Events!J10+Communications!J10+Admin!J10)</f>
        <v>0</v>
      </c>
      <c r="K11" s="15">
        <f>SUM(Membership!K10+GA!K10+Education!K10+Events!K10+Communications!K10+Admin!K10)</f>
        <v>0</v>
      </c>
      <c r="L11" s="15">
        <f>SUM(Membership!L10+GA!L10+Education!L10+Events!L10+Communications!L10+Admin!L10)</f>
        <v>0</v>
      </c>
      <c r="M11" s="15">
        <f>SUM(Membership!M10+GA!M10+Education!M10+Events!M10+Communications!M10+Admin!M10)</f>
        <v>0</v>
      </c>
      <c r="N11" s="15">
        <f>SUM(Membership!N10+GA!N10+Education!N10+Events!N10+Communications!N10+Admin!N10)</f>
        <v>0</v>
      </c>
      <c r="O11" s="121"/>
      <c r="P11" s="121"/>
      <c r="Q11" s="121"/>
      <c r="R11" s="122" t="s">
        <v>228</v>
      </c>
    </row>
    <row r="12" spans="1:18" ht="24.75" customHeight="1" x14ac:dyDescent="0.25">
      <c r="A12" s="16" t="s">
        <v>229</v>
      </c>
      <c r="B12" s="15">
        <f>SUM(Membership!B11+GA!B11+Education!B11+Events!B11+Communications!B11+Admin!B11)</f>
        <v>0</v>
      </c>
      <c r="C12" s="15">
        <f>SUM(Membership!C11+GA!C11+Education!C11+Events!C11+Communications!C11+Admin!C11)</f>
        <v>0</v>
      </c>
      <c r="D12" s="15">
        <f>SUM(Membership!D11+GA!D11+Education!D11+Events!D11+Communications!D11+Admin!D11)</f>
        <v>0</v>
      </c>
      <c r="E12" s="15">
        <f>SUM(Membership!E11+GA!E11+Education!E11+Events!E11+Communications!E11+Admin!E11)</f>
        <v>0</v>
      </c>
      <c r="F12" s="15">
        <f>SUM(Membership!F11+GA!F11+Education!F11+Events!F11+Communications!F11+Admin!F11)</f>
        <v>0</v>
      </c>
      <c r="G12" s="15">
        <f>SUM(Membership!G11+GA!G11+Education!G11+Events!G11+Communications!G11+Admin!G11)</f>
        <v>48450</v>
      </c>
      <c r="H12" s="15">
        <f>SUM(Membership!H11+GA!H11+Education!H11+Events!H11+Communications!H11+Admin!H11)</f>
        <v>0</v>
      </c>
      <c r="I12" s="15">
        <f>SUM(Membership!I11+GA!I11+Education!I11+Events!I11+Communications!I11+Admin!I11)</f>
        <v>0</v>
      </c>
      <c r="J12" s="15">
        <f>SUM(Membership!J11+GA!J11+Education!J11+Events!J11+Communications!J11+Admin!J11)</f>
        <v>0</v>
      </c>
      <c r="K12" s="15">
        <f>SUM(Membership!K11+GA!K11+Education!K11+Events!K11+Communications!K11+Admin!K11)</f>
        <v>0</v>
      </c>
      <c r="L12" s="15">
        <f>SUM(Membership!L11+GA!L11+Education!L11+Events!L11+Communications!L11+Admin!L11)</f>
        <v>0</v>
      </c>
      <c r="M12" s="15">
        <f>SUM(Membership!M11+GA!M11+Education!M11+Events!M11+Communications!M11+Admin!M11)</f>
        <v>0</v>
      </c>
      <c r="N12" s="15">
        <f>SUM(Membership!N11+GA!N11+Education!N11+Events!N11+Communications!N11+Admin!N11)</f>
        <v>48450</v>
      </c>
      <c r="O12" s="121">
        <f>47055</f>
        <v>47055</v>
      </c>
      <c r="P12" s="121">
        <f>34125</f>
        <v>34125</v>
      </c>
      <c r="Q12" s="121">
        <f t="shared" ref="Q12:Q19" si="2">N12-O12</f>
        <v>1395</v>
      </c>
      <c r="R12" s="123" t="s">
        <v>230</v>
      </c>
    </row>
    <row r="13" spans="1:18" ht="31.5" customHeight="1" x14ac:dyDescent="0.25">
      <c r="A13" s="16" t="s">
        <v>221</v>
      </c>
      <c r="B13" s="15">
        <f>SUM(Membership!B12+GA!B12+Education!B12+Events!B12+Communications!B12+Admin!B12)</f>
        <v>0</v>
      </c>
      <c r="C13" s="15">
        <f>SUM(Membership!C12+GA!C12+Education!C12+Events!C12+Communications!C12+Admin!C12)</f>
        <v>0</v>
      </c>
      <c r="D13" s="15">
        <f>SUM(Membership!D12+GA!D12+Education!D12+Events!D12+Communications!D12+Admin!D12)</f>
        <v>0</v>
      </c>
      <c r="E13" s="15">
        <f>SUM(Membership!E12+GA!E12+Education!E12+Events!E12+Communications!E12+Admin!E12)</f>
        <v>0</v>
      </c>
      <c r="F13" s="15">
        <f>SUM(Membership!F12+GA!F12+Education!F12+Events!F12+Communications!F12+Admin!F12)</f>
        <v>0</v>
      </c>
      <c r="G13" s="15">
        <f>SUM(Membership!G12+GA!G12+Education!G12+Events!G12+Communications!G12+Admin!G12)</f>
        <v>0</v>
      </c>
      <c r="H13" s="15">
        <f>SUM(Membership!H12+GA!H12+Education!H12+Events!H12+Communications!H12+Admin!H12)</f>
        <v>0</v>
      </c>
      <c r="I13" s="15">
        <f>SUM(Membership!I12+GA!I12+Education!I12+Events!I12+Communications!I12+Admin!I12)</f>
        <v>0</v>
      </c>
      <c r="J13" s="15">
        <f>SUM(Membership!J12+GA!J12+Education!J12+Events!J12+Communications!J12+Admin!J12)</f>
        <v>0</v>
      </c>
      <c r="K13" s="15">
        <f>SUM(Membership!K12+GA!K12+Education!K12+Events!K12+Communications!K12+Admin!K12)</f>
        <v>0</v>
      </c>
      <c r="L13" s="15">
        <f>SUM(Membership!L12+GA!L12+Education!L12+Events!L12+Communications!L12+Admin!L12)</f>
        <v>21000</v>
      </c>
      <c r="M13" s="15">
        <f>SUM(Membership!M12+GA!M12+Education!M12+Events!M12+Communications!M12+Admin!M12)</f>
        <v>0</v>
      </c>
      <c r="N13" s="15">
        <f>SUM(Membership!N12+GA!N12+Education!N12+Events!N12+Communications!N12+Admin!N12)</f>
        <v>21000</v>
      </c>
      <c r="O13" s="121">
        <f>5200</f>
        <v>5200</v>
      </c>
      <c r="P13" s="121">
        <f>35000</f>
        <v>35000</v>
      </c>
      <c r="Q13" s="121">
        <f t="shared" si="2"/>
        <v>15800</v>
      </c>
      <c r="R13" s="123" t="s">
        <v>231</v>
      </c>
    </row>
    <row r="14" spans="1:18" ht="14.25" customHeight="1" x14ac:dyDescent="0.25">
      <c r="A14" s="16" t="s">
        <v>36</v>
      </c>
      <c r="B14" s="15">
        <f>SUM(Membership!B13+GA!B13+Education!B13+Events!B13+Communications!B13+Admin!B13)</f>
        <v>0</v>
      </c>
      <c r="C14" s="15">
        <f>SUM(Membership!C13+GA!C13+Education!C13+Events!C13+Communications!C13+Admin!C13)</f>
        <v>0</v>
      </c>
      <c r="D14" s="15">
        <f>SUM(Membership!D13+GA!D13+Education!D13+Events!D13+Communications!D13+Admin!D13)</f>
        <v>0</v>
      </c>
      <c r="E14" s="15">
        <f>SUM(Membership!E13+GA!E13+Education!E13+Events!E13+Communications!E13+Admin!E13)</f>
        <v>0</v>
      </c>
      <c r="F14" s="15">
        <f>SUM(Membership!F13+GA!F13+Education!F13+Events!F13+Communications!F13+Admin!F13)</f>
        <v>0</v>
      </c>
      <c r="G14" s="15">
        <f>SUM(Membership!G13+GA!G13+Education!G13+Events!G13+Communications!G13+Admin!G13)</f>
        <v>0</v>
      </c>
      <c r="H14" s="15">
        <f>SUM(Membership!H13+GA!H13+Education!H13+Events!H13+Communications!H13+Admin!H13)</f>
        <v>0</v>
      </c>
      <c r="I14" s="15">
        <f>SUM(Membership!I13+GA!I13+Education!I13+Events!I13+Communications!I13+Admin!I13)</f>
        <v>0</v>
      </c>
      <c r="J14" s="15">
        <f>SUM(Membership!J13+GA!J13+Education!J13+Events!J13+Communications!J13+Admin!J13)</f>
        <v>0</v>
      </c>
      <c r="K14" s="15">
        <f>SUM(Membership!K13+GA!K13+Education!K13+Events!K13+Communications!K13+Admin!K13)</f>
        <v>48625</v>
      </c>
      <c r="L14" s="15">
        <f>SUM(Membership!L13+GA!L13+Education!L13+Events!L13+Communications!L13+Admin!L13)</f>
        <v>0</v>
      </c>
      <c r="M14" s="15">
        <f>SUM(Membership!M13+GA!M13+Education!M13+Events!M13+Communications!M13+Admin!M13)</f>
        <v>0</v>
      </c>
      <c r="N14" s="15">
        <f>SUM(Membership!N13+GA!N13+Education!N13+Events!N13+Communications!N13+Admin!N13)</f>
        <v>48625</v>
      </c>
      <c r="O14" s="121">
        <f>47740</f>
        <v>47740</v>
      </c>
      <c r="P14" s="121">
        <f>34125</f>
        <v>34125</v>
      </c>
      <c r="Q14" s="121">
        <f t="shared" si="2"/>
        <v>885</v>
      </c>
    </row>
    <row r="15" spans="1:18" ht="34.5" customHeight="1" x14ac:dyDescent="0.25">
      <c r="A15" s="16" t="s">
        <v>37</v>
      </c>
      <c r="B15" s="15">
        <f>SUM(Membership!B14+GA!B14+Education!B14+Events!B14+Communications!B14+Admin!B14)</f>
        <v>0</v>
      </c>
      <c r="C15" s="15">
        <f>SUM(Membership!C14+GA!C14+Education!C14+Events!C14+Communications!C14+Admin!C14)</f>
        <v>0</v>
      </c>
      <c r="D15" s="15">
        <f>SUM(Membership!D14+GA!D14+Education!D14+Events!D14+Communications!D14+Admin!D14)</f>
        <v>0</v>
      </c>
      <c r="E15" s="15">
        <f>SUM(Membership!E14+GA!E14+Education!E14+Events!E14+Communications!E14+Admin!E14)</f>
        <v>0</v>
      </c>
      <c r="F15" s="15">
        <f>SUM(Membership!F14+GA!F14+Education!F14+Events!F14+Communications!F14+Admin!F14)</f>
        <v>59500</v>
      </c>
      <c r="G15" s="15">
        <f>SUM(Membership!G14+GA!G14+Education!G14+Events!G14+Communications!G14+Admin!G14)</f>
        <v>0</v>
      </c>
      <c r="H15" s="15">
        <f>SUM(Membership!H14+GA!H14+Education!H14+Events!H14+Communications!H14+Admin!H14)</f>
        <v>0</v>
      </c>
      <c r="I15" s="15">
        <f>SUM(Membership!I14+GA!I14+Education!I14+Events!I14+Communications!I14+Admin!I14)</f>
        <v>0</v>
      </c>
      <c r="J15" s="15">
        <f>SUM(Membership!J14+GA!J14+Education!J14+Events!J14+Communications!J14+Admin!J14)</f>
        <v>0</v>
      </c>
      <c r="K15" s="15">
        <f>SUM(Membership!K14+GA!K14+Education!K14+Events!K14+Communications!K14+Admin!K14)</f>
        <v>0</v>
      </c>
      <c r="L15" s="15">
        <f>SUM(Membership!L14+GA!L14+Education!L14+Events!L14+Communications!L14+Admin!L14)</f>
        <v>0</v>
      </c>
      <c r="M15" s="15">
        <f>SUM(Membership!M14+GA!M14+Education!M14+Events!M14+Communications!M14+Admin!M14)</f>
        <v>0</v>
      </c>
      <c r="N15" s="15">
        <f>SUM(Membership!N14+GA!N14+Education!N14+Events!N14+Communications!N14+Admin!N14)</f>
        <v>59500</v>
      </c>
      <c r="O15" s="121">
        <f>0</f>
        <v>0</v>
      </c>
      <c r="P15" s="121">
        <f>59500</f>
        <v>59500</v>
      </c>
      <c r="Q15" s="121">
        <f t="shared" si="2"/>
        <v>59500</v>
      </c>
      <c r="R15" s="123" t="s">
        <v>232</v>
      </c>
    </row>
    <row r="16" spans="1:18" ht="26.25" customHeight="1" x14ac:dyDescent="0.25">
      <c r="A16" s="16" t="s">
        <v>38</v>
      </c>
      <c r="B16" s="15">
        <f>SUM(Membership!B15+GA!B15+Education!B15+Events!B15+Communications!B15+Admin!B15)</f>
        <v>0</v>
      </c>
      <c r="C16" s="15">
        <f>SUM(Membership!C15+GA!C15+Education!C15+Events!C15+Communications!C15+Admin!C15)</f>
        <v>0</v>
      </c>
      <c r="D16" s="15">
        <f>SUM(Membership!D15+GA!D15+Education!D15+Events!D15+Communications!D15+Admin!D15)</f>
        <v>0</v>
      </c>
      <c r="E16" s="15">
        <f>SUM(Membership!E15+GA!E15+Education!E15+Events!E15+Communications!E15+Admin!E15)</f>
        <v>11700</v>
      </c>
      <c r="F16" s="15">
        <f>SUM(Membership!F15+GA!F15+Education!F15+Events!F15+Communications!F15+Admin!F15)</f>
        <v>0</v>
      </c>
      <c r="G16" s="15">
        <f>SUM(Membership!G15+GA!G15+Education!G15+Events!G15+Communications!G15+Admin!G15)</f>
        <v>0</v>
      </c>
      <c r="H16" s="15">
        <f>SUM(Membership!H15+GA!H15+Education!H15+Events!H15+Communications!H15+Admin!H15)</f>
        <v>0</v>
      </c>
      <c r="I16" s="15">
        <f>SUM(Membership!I15+GA!I15+Education!I15+Events!I15+Communications!I15+Admin!I15)</f>
        <v>0</v>
      </c>
      <c r="J16" s="15">
        <f>SUM(Membership!J15+GA!J15+Education!J15+Events!J15+Communications!J15+Admin!J15)</f>
        <v>0</v>
      </c>
      <c r="K16" s="15">
        <f>SUM(Membership!K15+GA!K15+Education!K15+Events!K15+Communications!K15+Admin!K15)</f>
        <v>0</v>
      </c>
      <c r="L16" s="15">
        <f>SUM(Membership!L15+GA!L15+Education!L15+Events!L15+Communications!L15+Admin!L15)</f>
        <v>0</v>
      </c>
      <c r="M16" s="15">
        <f>SUM(Membership!M15+GA!M15+Education!M15+Events!M15+Communications!M15+Admin!M15)</f>
        <v>0</v>
      </c>
      <c r="N16" s="15">
        <f>SUM(Membership!N15+GA!N15+Education!N15+Events!N15+Communications!N15+Admin!N15)</f>
        <v>11700</v>
      </c>
      <c r="O16" s="121">
        <v>0</v>
      </c>
      <c r="P16" s="121">
        <f>7750</f>
        <v>7750</v>
      </c>
      <c r="Q16" s="121">
        <f t="shared" si="2"/>
        <v>11700</v>
      </c>
      <c r="R16" s="123" t="s">
        <v>233</v>
      </c>
    </row>
    <row r="17" spans="1:18" ht="31.5" customHeight="1" x14ac:dyDescent="0.25">
      <c r="A17" s="16" t="s">
        <v>39</v>
      </c>
      <c r="B17" s="15">
        <f>SUM(Membership!B16+GA!B16+Education!B16+Events!B16+Communications!B16+Admin!B16)</f>
        <v>0</v>
      </c>
      <c r="C17" s="15">
        <f>SUM(Membership!C16+GA!C16+Education!C16+Events!C16+Communications!C16+Admin!C16)</f>
        <v>60625</v>
      </c>
      <c r="D17" s="15">
        <f>SUM(Membership!D16+GA!D16+Education!D16+Events!D16+Communications!D16+Admin!D16)</f>
        <v>0</v>
      </c>
      <c r="E17" s="15">
        <f>SUM(Membership!E16+GA!E16+Education!E16+Events!E16+Communications!E16+Admin!E16)</f>
        <v>0</v>
      </c>
      <c r="F17" s="15">
        <f>SUM(Membership!F16+GA!F16+Education!F16+Events!F16+Communications!F16+Admin!F16)</f>
        <v>0</v>
      </c>
      <c r="G17" s="15">
        <f>SUM(Membership!G16+GA!G16+Education!G16+Events!G16+Communications!G16+Admin!G16)</f>
        <v>0</v>
      </c>
      <c r="H17" s="15">
        <f>SUM(Membership!H16+GA!H16+Education!H16+Events!H16+Communications!H16+Admin!H16)</f>
        <v>0</v>
      </c>
      <c r="I17" s="15">
        <f>SUM(Membership!I16+GA!I16+Education!I16+Events!I16+Communications!I16+Admin!I16)</f>
        <v>0</v>
      </c>
      <c r="J17" s="15">
        <f>SUM(Membership!J16+GA!J16+Education!J16+Events!J16+Communications!J16+Admin!J16)</f>
        <v>0</v>
      </c>
      <c r="K17" s="15">
        <f>SUM(Membership!K16+GA!K16+Education!K16+Events!K16+Communications!K16+Admin!K16)</f>
        <v>0</v>
      </c>
      <c r="L17" s="15">
        <f>SUM(Membership!L16+GA!L16+Education!L16+Events!L16+Communications!L16+Admin!L16)</f>
        <v>0</v>
      </c>
      <c r="M17" s="15">
        <f>SUM(Membership!M16+GA!M16+Education!M16+Events!M16+Communications!M16+Admin!M16)</f>
        <v>0</v>
      </c>
      <c r="N17" s="15">
        <f>SUM(Membership!N16+GA!N16+Education!N16+Events!N16+Communications!N16+Admin!N16)</f>
        <v>60625</v>
      </c>
      <c r="O17" s="121">
        <f>10860</f>
        <v>10860</v>
      </c>
      <c r="P17" s="121">
        <f>4925</f>
        <v>4925</v>
      </c>
      <c r="Q17" s="121">
        <f t="shared" si="2"/>
        <v>49765</v>
      </c>
      <c r="R17" s="123" t="s">
        <v>234</v>
      </c>
    </row>
    <row r="18" spans="1:18" ht="14.25" customHeight="1" x14ac:dyDescent="0.25">
      <c r="A18" s="134" t="s">
        <v>237</v>
      </c>
      <c r="B18" s="15">
        <f>SUM(Membership!B17+GA!B17+Education!B17+Events!B17+Communications!B17+Admin!B17)</f>
        <v>8750</v>
      </c>
      <c r="C18" s="15">
        <f>SUM(Membership!C17+GA!C17+Education!C17+Events!C17+Communications!C17+Admin!C17)</f>
        <v>0</v>
      </c>
      <c r="D18" s="15">
        <f>SUM(Membership!D17+GA!D17+Education!D17+Events!D17+Communications!D17+Admin!D17)</f>
        <v>0</v>
      </c>
      <c r="E18" s="15">
        <f>SUM(Membership!E17+GA!E17+Education!E17+Events!E17+Communications!E17+Admin!E17)</f>
        <v>0</v>
      </c>
      <c r="F18" s="15">
        <f>SUM(Membership!F17+GA!F17+Education!F17+Events!F17+Communications!F17+Admin!F17)</f>
        <v>0</v>
      </c>
      <c r="G18" s="15">
        <f>SUM(Membership!G17+GA!G17+Education!G17+Events!G17+Communications!G17+Admin!G17)</f>
        <v>0</v>
      </c>
      <c r="H18" s="15">
        <f>SUM(Membership!H17+GA!H17+Education!H17+Events!H17+Communications!H17+Admin!H17)</f>
        <v>0</v>
      </c>
      <c r="I18" s="15">
        <f>SUM(Membership!I17+GA!I17+Education!I17+Events!I17+Communications!I17+Admin!I17)</f>
        <v>0</v>
      </c>
      <c r="J18" s="15">
        <f>SUM(Membership!J17+GA!J17+Education!J17+Events!J17+Communications!J17+Admin!J17)</f>
        <v>0</v>
      </c>
      <c r="K18" s="15">
        <f>SUM(Membership!K17+GA!K17+Education!K17+Events!K17+Communications!K17+Admin!K17)</f>
        <v>0</v>
      </c>
      <c r="L18" s="15">
        <f>SUM(Membership!L17+GA!L17+Education!L17+Events!L17+Communications!L17+Admin!L17)</f>
        <v>0</v>
      </c>
      <c r="M18" s="15">
        <f>SUM(Membership!M17+GA!M17+Education!M17+Events!M17+Communications!M17+Admin!M17)</f>
        <v>0</v>
      </c>
      <c r="N18" s="15">
        <f>SUM(Membership!N17+GA!N17+Education!N17+Events!N17+Communications!N17+Admin!N17)</f>
        <v>8750</v>
      </c>
      <c r="O18" s="121">
        <f>6480</f>
        <v>6480</v>
      </c>
      <c r="P18" s="121">
        <v>0</v>
      </c>
      <c r="Q18" s="121">
        <f t="shared" si="2"/>
        <v>2270</v>
      </c>
    </row>
    <row r="19" spans="1:18" ht="14.25" customHeight="1" x14ac:dyDescent="0.25">
      <c r="A19" s="16" t="s">
        <v>41</v>
      </c>
      <c r="B19" s="15">
        <f>SUM(Membership!B18+GA!B18+Education!B18+Events!B18+Communications!B18+Admin!B18)</f>
        <v>0</v>
      </c>
      <c r="C19" s="15">
        <f>SUM(Membership!C18+GA!C18+Education!C18+Events!C18+Communications!C18+Admin!C18)</f>
        <v>0</v>
      </c>
      <c r="D19" s="15">
        <f>SUM(Membership!D18+GA!D18+Education!D18+Events!D18+Communications!D18+Admin!D18)</f>
        <v>0</v>
      </c>
      <c r="E19" s="15">
        <f>SUM(Membership!E18+GA!E18+Education!E18+Events!E18+Communications!E18+Admin!E18)</f>
        <v>0</v>
      </c>
      <c r="F19" s="15">
        <f>SUM(Membership!F18+GA!F18+Education!F18+Events!F18+Communications!F18+Admin!F18)</f>
        <v>0</v>
      </c>
      <c r="G19" s="15">
        <f>SUM(Membership!G18+GA!G18+Education!G18+Events!G18+Communications!G18+Admin!G18)</f>
        <v>0</v>
      </c>
      <c r="H19" s="15">
        <f>SUM(Membership!H18+GA!H18+Education!H18+Events!H18+Communications!H18+Admin!H18)</f>
        <v>0</v>
      </c>
      <c r="I19" s="15">
        <f>SUM(Membership!I18+GA!I18+Education!I18+Events!I18+Communications!I18+Admin!I18)</f>
        <v>0</v>
      </c>
      <c r="J19" s="15">
        <f>SUM(Membership!J18+GA!J18+Education!J18+Events!J18+Communications!J18+Admin!J18)</f>
        <v>133670</v>
      </c>
      <c r="K19" s="15">
        <f>SUM(Membership!K18+GA!K18+Education!K18+Events!K18+Communications!K18+Admin!K18)</f>
        <v>0</v>
      </c>
      <c r="L19" s="15">
        <f>SUM(Membership!L18+GA!L18+Education!L18+Events!L18+Communications!L18+Admin!L18)</f>
        <v>0</v>
      </c>
      <c r="M19" s="15">
        <f>SUM(Membership!M18+GA!M18+Education!M18+Events!M18+Communications!M18+Admin!M18)</f>
        <v>0</v>
      </c>
      <c r="N19" s="15">
        <f>SUM(Membership!N18+GA!N18+Education!N18+Events!N18+Communications!N18+Admin!N18)</f>
        <v>133670</v>
      </c>
      <c r="O19" s="121">
        <f>119506</f>
        <v>119506</v>
      </c>
      <c r="P19" s="121">
        <f>136795</f>
        <v>136795</v>
      </c>
      <c r="Q19" s="121">
        <f t="shared" si="2"/>
        <v>14164</v>
      </c>
    </row>
    <row r="20" spans="1:18" s="39" customFormat="1" ht="14.25" customHeight="1" x14ac:dyDescent="0.25">
      <c r="A20" s="30" t="s">
        <v>164</v>
      </c>
      <c r="B20" s="31">
        <f>SUM(B11:B19)</f>
        <v>8750</v>
      </c>
      <c r="C20" s="31">
        <f t="shared" ref="C20:M20" si="3">SUM(C11:C19)</f>
        <v>60625</v>
      </c>
      <c r="D20" s="31">
        <f t="shared" si="3"/>
        <v>0</v>
      </c>
      <c r="E20" s="31">
        <f t="shared" si="3"/>
        <v>11700</v>
      </c>
      <c r="F20" s="31">
        <f t="shared" si="3"/>
        <v>59500</v>
      </c>
      <c r="G20" s="31">
        <f t="shared" si="3"/>
        <v>48450</v>
      </c>
      <c r="H20" s="31">
        <f t="shared" si="3"/>
        <v>0</v>
      </c>
      <c r="I20" s="31">
        <f t="shared" si="3"/>
        <v>0</v>
      </c>
      <c r="J20" s="31">
        <f t="shared" si="3"/>
        <v>133670</v>
      </c>
      <c r="K20" s="31">
        <f t="shared" si="3"/>
        <v>48625</v>
      </c>
      <c r="L20" s="31">
        <f t="shared" si="3"/>
        <v>21000</v>
      </c>
      <c r="M20" s="31">
        <f t="shared" si="3"/>
        <v>0</v>
      </c>
      <c r="N20" s="31">
        <f>SUM(B20:M20)</f>
        <v>392320</v>
      </c>
      <c r="O20" s="40">
        <f>SUM(O11:O19)</f>
        <v>236841</v>
      </c>
      <c r="P20" s="40">
        <f t="shared" ref="P20:Q20" si="4">SUM(P11:P19)</f>
        <v>312220</v>
      </c>
      <c r="Q20" s="40">
        <f t="shared" si="4"/>
        <v>155479</v>
      </c>
      <c r="R20" s="45"/>
    </row>
    <row r="21" spans="1:18" s="34" customFormat="1" ht="14.25" customHeight="1" x14ac:dyDescent="0.25">
      <c r="A21" s="32" t="s">
        <v>42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R21" s="124"/>
    </row>
    <row r="22" spans="1:18" ht="14.25" customHeight="1" x14ac:dyDescent="0.25">
      <c r="A22" s="16" t="s">
        <v>43</v>
      </c>
      <c r="B22" s="15">
        <f>SUM(Membership!B20+GA!B20+Education!B20+Events!B21+Communications!B20+Admin!B20)</f>
        <v>150</v>
      </c>
      <c r="C22" s="15">
        <f>SUM(Membership!C20+GA!C20+Education!C20+Events!C21+Communications!C20+Admin!C20)</f>
        <v>150</v>
      </c>
      <c r="D22" s="15">
        <f>SUM(Membership!D20+GA!D20+Education!D20+Events!D21+Communications!D20+Admin!D20)</f>
        <v>200</v>
      </c>
      <c r="E22" s="15">
        <f>SUM(Membership!E20+GA!E20+Education!E20+Events!E21+Communications!E20+Admin!E20)</f>
        <v>400</v>
      </c>
      <c r="F22" s="15">
        <f>SUM(Membership!F20+GA!F20+Education!F20+Events!F21+Communications!F20+Admin!F20)</f>
        <v>400</v>
      </c>
      <c r="G22" s="15">
        <f>SUM(Membership!G20+GA!G20+Education!G20+Events!G21+Communications!G20+Admin!G20)</f>
        <v>350</v>
      </c>
      <c r="H22" s="15">
        <f>SUM(Membership!H20+GA!H20+Education!H20+Events!H21+Communications!H20+Admin!H20)</f>
        <v>300</v>
      </c>
      <c r="I22" s="15">
        <f>SUM(Membership!I20+GA!I20+Education!I20+Events!I21+Communications!I20+Admin!I20)</f>
        <v>300</v>
      </c>
      <c r="J22" s="15">
        <f>SUM(Membership!J20+GA!J20+Education!J20+Events!J21+Communications!J20+Admin!J20)</f>
        <v>500</v>
      </c>
      <c r="K22" s="15">
        <f>SUM(Membership!K20+GA!K20+Education!K20+Events!K21+Communications!K20+Admin!K20)</f>
        <v>250</v>
      </c>
      <c r="L22" s="15">
        <f>SUM(Membership!L20+GA!L20+Education!L20+Events!L21+Communications!L20+Admin!L20)</f>
        <v>400</v>
      </c>
      <c r="M22" s="15">
        <f>SUM(Membership!M20+GA!M20+Education!M20+Events!M21+Communications!M20+Admin!M20)</f>
        <v>400</v>
      </c>
      <c r="N22" s="15">
        <f>SUM(Membership!N20+GA!N20+Education!N20+Events!N21+Communications!N20+Admin!N20)</f>
        <v>3800</v>
      </c>
      <c r="O22" s="46">
        <f>3431.01</f>
        <v>3431.01</v>
      </c>
      <c r="P22" s="46">
        <f>5000</f>
        <v>5000</v>
      </c>
      <c r="Q22" s="46">
        <f>N22-O22</f>
        <v>368.98999999999978</v>
      </c>
      <c r="R22" s="125"/>
    </row>
    <row r="23" spans="1:18" ht="14.25" customHeight="1" x14ac:dyDescent="0.25">
      <c r="A23" s="16" t="s">
        <v>44</v>
      </c>
      <c r="B23" s="15">
        <f>SUM(Membership!B21+GA!B21+Education!B21+Events!B22+Communications!B21+Admin!B21)</f>
        <v>4600</v>
      </c>
      <c r="C23" s="15">
        <f>SUM(Membership!C21+GA!C21+Education!C21+Events!C22+Communications!C21+Admin!C21)</f>
        <v>4400</v>
      </c>
      <c r="D23" s="15">
        <f>SUM(Membership!D21+GA!D21+Education!D21+Events!D22+Communications!D21+Admin!D21)</f>
        <v>5900</v>
      </c>
      <c r="E23" s="15">
        <f>SUM(Membership!E21+GA!E21+Education!E21+Events!E22+Communications!E21+Admin!E21)</f>
        <v>4100</v>
      </c>
      <c r="F23" s="15">
        <f>SUM(Membership!F21+GA!F21+Education!F21+Events!F22+Communications!F21+Admin!F21)</f>
        <v>5200</v>
      </c>
      <c r="G23" s="15">
        <f>SUM(Membership!G21+GA!G21+Education!G21+Events!G22+Communications!G21+Admin!G21)</f>
        <v>3400</v>
      </c>
      <c r="H23" s="15">
        <f>SUM(Membership!H21+GA!H21+Education!H21+Events!H22+Communications!H21+Admin!H21)</f>
        <v>4400</v>
      </c>
      <c r="I23" s="15">
        <f>SUM(Membership!I21+GA!I21+Education!I21+Events!I22+Communications!I21+Admin!I21)</f>
        <v>2200</v>
      </c>
      <c r="J23" s="15">
        <f>SUM(Membership!J21+GA!J21+Education!J21+Events!J22+Communications!J21+Admin!J21)</f>
        <v>2950</v>
      </c>
      <c r="K23" s="15">
        <f>SUM(Membership!K21+GA!K21+Education!K21+Events!K22+Communications!K21+Admin!K21)</f>
        <v>850</v>
      </c>
      <c r="L23" s="15">
        <f>SUM(Membership!L21+GA!L21+Education!L21+Events!L22+Communications!L21+Admin!L21)</f>
        <v>2000</v>
      </c>
      <c r="M23" s="15">
        <f>SUM(Membership!M21+GA!M21+Education!M21+Events!M22+Communications!M21+Admin!M21)</f>
        <v>2000</v>
      </c>
      <c r="N23" s="15">
        <f>SUM(Membership!N21+GA!N21+Education!N21+Events!N22+Communications!N21+Admin!N21)</f>
        <v>42000</v>
      </c>
      <c r="O23" s="46">
        <f>43124.04</f>
        <v>43124.04</v>
      </c>
      <c r="P23" s="46">
        <f>41800</f>
        <v>41800</v>
      </c>
      <c r="Q23" s="46">
        <f t="shared" ref="Q23:Q27" si="5">N23-O23</f>
        <v>-1124.0400000000009</v>
      </c>
      <c r="R23" s="125"/>
    </row>
    <row r="24" spans="1:18" ht="14.25" customHeight="1" x14ac:dyDescent="0.25">
      <c r="A24" s="16" t="s">
        <v>45</v>
      </c>
      <c r="B24" s="15">
        <f>SUM(Membership!B22+GA!B22+Education!B22+Events!B23+Communications!B22+Admin!B22)</f>
        <v>14000</v>
      </c>
      <c r="C24" s="15">
        <f>SUM(Membership!C22+GA!C22+Education!C22+Events!C23+Communications!C22+Admin!C22)</f>
        <v>9250</v>
      </c>
      <c r="D24" s="15">
        <f>SUM(Membership!D22+GA!D22+Education!D22+Events!D23+Communications!D22+Admin!D22)</f>
        <v>7500</v>
      </c>
      <c r="E24" s="15">
        <f>SUM(Membership!E22+GA!E22+Education!E22+Events!E23+Communications!E22+Admin!E22)</f>
        <v>5250</v>
      </c>
      <c r="F24" s="15">
        <f>SUM(Membership!F22+GA!F22+Education!F22+Events!F23+Communications!F22+Admin!F22)</f>
        <v>5750</v>
      </c>
      <c r="G24" s="15">
        <f>SUM(Membership!G22+GA!G22+Education!G22+Events!G23+Communications!G22+Admin!G22)</f>
        <v>6250</v>
      </c>
      <c r="H24" s="15">
        <f>SUM(Membership!H22+GA!H22+Education!H22+Events!H23+Communications!H22+Admin!H22)</f>
        <v>4750</v>
      </c>
      <c r="I24" s="15">
        <f>SUM(Membership!I22+GA!I22+Education!I22+Events!I23+Communications!I22+Admin!I22)</f>
        <v>5750</v>
      </c>
      <c r="J24" s="15">
        <f>SUM(Membership!J22+GA!J22+Education!J22+Events!J23+Communications!J22+Admin!J22)</f>
        <v>8250</v>
      </c>
      <c r="K24" s="15">
        <f>SUM(Membership!K22+GA!K22+Education!K22+Events!K23+Communications!K22+Admin!K22)</f>
        <v>7000</v>
      </c>
      <c r="L24" s="15">
        <f>SUM(Membership!L22+GA!L22+Education!L22+Events!L23+Communications!L22+Admin!L22)</f>
        <v>4750</v>
      </c>
      <c r="M24" s="15">
        <f>SUM(Membership!M22+GA!M22+Education!M22+Events!M23+Communications!M22+Admin!M22)</f>
        <v>4750</v>
      </c>
      <c r="N24" s="15">
        <f>SUM(Membership!N22+GA!N22+Education!N22+Events!N23+Communications!N22+Admin!N22)</f>
        <v>83250</v>
      </c>
      <c r="O24" s="46">
        <f>85750</f>
        <v>85750</v>
      </c>
      <c r="P24" s="46">
        <f>83300</f>
        <v>83300</v>
      </c>
      <c r="Q24" s="46">
        <f t="shared" si="5"/>
        <v>-2500</v>
      </c>
      <c r="R24" s="125"/>
    </row>
    <row r="25" spans="1:18" ht="14.25" customHeight="1" x14ac:dyDescent="0.25">
      <c r="A25" s="16" t="s">
        <v>46</v>
      </c>
      <c r="B25" s="15">
        <f>SUM(Membership!B23+GA!B23+Education!B23+Events!B24+Communications!B23+Admin!B23)</f>
        <v>78129.320000000007</v>
      </c>
      <c r="C25" s="15">
        <f>SUM(Membership!C23+GA!C23+Education!C23+Events!C24+Communications!C23+Admin!C23)</f>
        <v>48798.44</v>
      </c>
      <c r="D25" s="15">
        <f>SUM(Membership!D23+GA!D23+Education!D23+Events!D24+Communications!D23+Admin!D23)</f>
        <v>69549.574840000001</v>
      </c>
      <c r="E25" s="15">
        <f>SUM(Membership!E23+GA!E23+Education!E23+Events!E24+Communications!E23+Admin!E23)</f>
        <v>50880.718059999999</v>
      </c>
      <c r="F25" s="15">
        <f>SUM(Membership!F23+GA!F23+Education!F23+Events!F24+Communications!F23+Admin!F23)</f>
        <v>47123.496769999998</v>
      </c>
      <c r="G25" s="15">
        <f>SUM(Membership!G23+GA!G23+Education!G23+Events!G24+Communications!G23+Admin!G23)</f>
        <v>57518.814190000005</v>
      </c>
      <c r="H25" s="15">
        <f>SUM(Membership!H23+GA!H23+Education!H23+Events!H24+Communications!H23+Admin!H23)</f>
        <v>69581.261999999988</v>
      </c>
      <c r="I25" s="15">
        <f>SUM(Membership!I23+GA!I23+Education!I23+Events!I24+Communications!I23+Admin!I23)</f>
        <v>51690.181940000002</v>
      </c>
      <c r="J25" s="15">
        <f>SUM(Membership!J23+GA!J23+Education!J23+Events!J24+Communications!J23+Admin!J23)</f>
        <v>56810.084520000004</v>
      </c>
      <c r="K25" s="15">
        <f>SUM(Membership!K23+GA!K23+Education!K23+Events!K24+Communications!K23+Admin!K23)</f>
        <v>63949.8</v>
      </c>
      <c r="L25" s="15">
        <f>SUM(Membership!L23+GA!L23+Education!L23+Events!L24+Communications!L23+Admin!L23)</f>
        <v>57506.70968</v>
      </c>
      <c r="M25" s="15">
        <f>SUM(Membership!M23+GA!M23+Education!M23+Events!M24+Communications!M23+Admin!M23)</f>
        <v>57506.0429</v>
      </c>
      <c r="N25" s="15">
        <f>SUM(Membership!N23+GA!N23+Education!N23+Events!N24+Communications!N23+Admin!N23)</f>
        <v>709044.4449</v>
      </c>
      <c r="O25" s="46">
        <f>685573.05</f>
        <v>685573.05</v>
      </c>
      <c r="P25" s="46">
        <f>665322</f>
        <v>665322</v>
      </c>
      <c r="Q25" s="46">
        <f t="shared" si="5"/>
        <v>23471.394899999956</v>
      </c>
      <c r="R25" s="125"/>
    </row>
    <row r="26" spans="1:18" ht="14.25" customHeight="1" x14ac:dyDescent="0.25">
      <c r="A26" s="16" t="s">
        <v>47</v>
      </c>
      <c r="B26" s="15">
        <f>SUM(Membership!B24+GA!B24+Education!B24+Events!B25+Communications!B24+Admin!B24)</f>
        <v>17850</v>
      </c>
      <c r="C26" s="15">
        <f>SUM(Membership!C24+GA!C24+Education!C24+Events!C25+Communications!C24+Admin!C24)</f>
        <v>24650</v>
      </c>
      <c r="D26" s="15">
        <f>SUM(Membership!D24+GA!D24+Education!D24+Events!D25+Communications!D24+Admin!D24)</f>
        <v>16150</v>
      </c>
      <c r="E26" s="15">
        <f>SUM(Membership!E24+GA!E24+Education!E24+Events!E25+Communications!E24+Admin!E24)</f>
        <v>9350</v>
      </c>
      <c r="F26" s="15">
        <f>SUM(Membership!F24+GA!F24+Education!F24+Events!F25+Communications!F24+Admin!F24)</f>
        <v>11506.25</v>
      </c>
      <c r="G26" s="15">
        <f>SUM(Membership!G24+GA!G24+Education!G24+Events!G25+Communications!G24+Admin!G24)</f>
        <v>8956.25</v>
      </c>
      <c r="H26" s="15">
        <f>SUM(Membership!H24+GA!H24+Education!H24+Events!H25+Communications!H24+Admin!H24)</f>
        <v>8956.25</v>
      </c>
      <c r="I26" s="15">
        <f>SUM(Membership!I24+GA!I24+Education!I24+Events!I25+Communications!I24+Admin!I24)</f>
        <v>10231.25</v>
      </c>
      <c r="J26" s="15">
        <f>SUM(Membership!J24+GA!J24+Education!J24+Events!J25+Communications!J24+Admin!J24)</f>
        <v>16181.25</v>
      </c>
      <c r="K26" s="15">
        <f>SUM(Membership!K24+GA!K24+Education!K24+Events!K25+Communications!K24+Admin!K24)</f>
        <v>10231.25</v>
      </c>
      <c r="L26" s="15">
        <f>SUM(Membership!L24+GA!L24+Education!L24+Events!L25+Communications!L24+Admin!L24)</f>
        <v>6831.25</v>
      </c>
      <c r="M26" s="15">
        <f>SUM(Membership!M24+GA!M24+Education!M24+Events!M25+Communications!M24+Admin!M24)</f>
        <v>6828.25</v>
      </c>
      <c r="N26" s="15">
        <f>SUM(Membership!N24+GA!N24+Education!N24+Events!N25+Communications!N24+Admin!N24)</f>
        <v>147722</v>
      </c>
      <c r="O26" s="46">
        <f>147475</f>
        <v>147475</v>
      </c>
      <c r="P26" s="46">
        <f>145350</f>
        <v>145350</v>
      </c>
      <c r="Q26" s="46">
        <f t="shared" si="5"/>
        <v>247</v>
      </c>
      <c r="R26" s="125"/>
    </row>
    <row r="27" spans="1:18" s="39" customFormat="1" ht="14.25" customHeight="1" x14ac:dyDescent="0.25">
      <c r="A27" s="30" t="s">
        <v>211</v>
      </c>
      <c r="B27" s="31">
        <f>SUM(B22:B26)</f>
        <v>114729.32</v>
      </c>
      <c r="C27" s="31">
        <f t="shared" ref="C27:N27" si="6">SUM(C22:C26)</f>
        <v>87248.44</v>
      </c>
      <c r="D27" s="31">
        <f t="shared" si="6"/>
        <v>99299.574840000001</v>
      </c>
      <c r="E27" s="31">
        <f t="shared" si="6"/>
        <v>69980.718059999999</v>
      </c>
      <c r="F27" s="31">
        <f t="shared" si="6"/>
        <v>69979.746769999998</v>
      </c>
      <c r="G27" s="31">
        <f t="shared" si="6"/>
        <v>76475.064190000005</v>
      </c>
      <c r="H27" s="31">
        <f t="shared" si="6"/>
        <v>87987.511999999988</v>
      </c>
      <c r="I27" s="31">
        <f t="shared" si="6"/>
        <v>70171.431940000009</v>
      </c>
      <c r="J27" s="31">
        <f t="shared" si="6"/>
        <v>84691.334520000004</v>
      </c>
      <c r="K27" s="31">
        <f t="shared" si="6"/>
        <v>82281.05</v>
      </c>
      <c r="L27" s="31">
        <f t="shared" si="6"/>
        <v>71487.95968</v>
      </c>
      <c r="M27" s="31">
        <f t="shared" si="6"/>
        <v>71484.2929</v>
      </c>
      <c r="N27" s="31">
        <f t="shared" si="6"/>
        <v>985816.4449</v>
      </c>
      <c r="O27" s="48">
        <f>SUM(O22:O26)</f>
        <v>965353.10000000009</v>
      </c>
      <c r="P27" s="48">
        <f>SUM(P22:P26)</f>
        <v>940772</v>
      </c>
      <c r="Q27" s="48">
        <f t="shared" si="5"/>
        <v>20463.344899999909</v>
      </c>
      <c r="R27" s="48"/>
    </row>
    <row r="28" spans="1:18" s="34" customFormat="1" ht="14.25" customHeight="1" x14ac:dyDescent="0.25">
      <c r="A28" s="32" t="s">
        <v>48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O28" s="49"/>
      <c r="P28" s="49"/>
      <c r="Q28" s="49"/>
      <c r="R28" s="126"/>
    </row>
    <row r="29" spans="1:18" ht="14.25" hidden="1" customHeight="1" x14ac:dyDescent="0.25">
      <c r="A29" s="16" t="s">
        <v>49</v>
      </c>
      <c r="B29" s="15">
        <f>SUM(Membership!B26+GA!B26+Education!B26+Events!B27+Communications!B26+Admin!B26)</f>
        <v>0</v>
      </c>
      <c r="C29" s="15">
        <f>SUM(Membership!C26+GA!C26+Education!C26+Events!C27+Communications!C26+Admin!C26)</f>
        <v>0</v>
      </c>
      <c r="D29" s="15">
        <f>SUM(Membership!D26+GA!D26+Education!D26+Events!D27+Communications!D26+Admin!D26)</f>
        <v>0</v>
      </c>
      <c r="E29" s="15">
        <f>SUM(Membership!E26+GA!E26+Education!E26+Events!E27+Communications!E26+Admin!E26)</f>
        <v>0</v>
      </c>
      <c r="F29" s="15">
        <f>SUM(Membership!F26+GA!F26+Education!F26+Events!F27+Communications!F26+Admin!F26)</f>
        <v>0</v>
      </c>
      <c r="G29" s="15">
        <f>SUM(Membership!G26+GA!G26+Education!G26+Events!G27+Communications!G26+Admin!G26)</f>
        <v>0</v>
      </c>
      <c r="H29" s="15">
        <f>SUM(Membership!H26+GA!H26+Education!H26+Events!H27+Communications!H26+Admin!H26)</f>
        <v>0</v>
      </c>
      <c r="I29" s="15">
        <f>SUM(Membership!I26+GA!I26+Education!I26+Events!I27+Communications!I26+Admin!I26)</f>
        <v>0</v>
      </c>
      <c r="J29" s="15">
        <f>SUM(Membership!J26+GA!J26+Education!J26+Events!J27+Communications!J26+Admin!J26)</f>
        <v>0</v>
      </c>
      <c r="K29" s="15">
        <f>SUM(Membership!K26+GA!K26+Education!K26+Events!K27+Communications!K26+Admin!K26)</f>
        <v>0</v>
      </c>
      <c r="L29" s="15">
        <f>SUM(Membership!L26+GA!L26+Education!L26+Events!L27+Communications!L26+Admin!L26)</f>
        <v>0</v>
      </c>
      <c r="M29" s="15">
        <f>SUM(Membership!M26+GA!M26+Education!M26+Events!M27+Communications!M26+Admin!M26)</f>
        <v>0</v>
      </c>
      <c r="N29" s="15">
        <f>SUM(Membership!N26+GA!N26+Education!N26+Events!N27+Communications!N26+Admin!N26)</f>
        <v>0</v>
      </c>
      <c r="O29" s="46">
        <f>2048</f>
        <v>2048</v>
      </c>
      <c r="P29" s="46">
        <f>3108</f>
        <v>3108</v>
      </c>
      <c r="Q29" s="46">
        <f>N29-O29</f>
        <v>-2048</v>
      </c>
      <c r="R29" s="125"/>
    </row>
    <row r="30" spans="1:18" ht="14.25" hidden="1" customHeight="1" x14ac:dyDescent="0.25">
      <c r="A30" s="16" t="s">
        <v>50</v>
      </c>
      <c r="B30" s="15">
        <f>SUM(Membership!B27+GA!B27+Education!B27+Events!B28+Communications!B27+Admin!B27)</f>
        <v>0</v>
      </c>
      <c r="C30" s="15">
        <f>SUM(Membership!C27+GA!C27+Education!C27+Events!C28+Communications!C27+Admin!C27)</f>
        <v>0</v>
      </c>
      <c r="D30" s="15">
        <f>SUM(Membership!D27+GA!D27+Education!D27+Events!D28+Communications!D27+Admin!D27)</f>
        <v>0</v>
      </c>
      <c r="E30" s="15">
        <f>SUM(Membership!E27+GA!E27+Education!E27+Events!E28+Communications!E27+Admin!E27)</f>
        <v>0</v>
      </c>
      <c r="F30" s="15">
        <f>SUM(Membership!F27+GA!F27+Education!F27+Events!F28+Communications!F27+Admin!F27)</f>
        <v>0</v>
      </c>
      <c r="G30" s="15">
        <f>SUM(Membership!G27+GA!G27+Education!G27+Events!G28+Communications!G27+Admin!G27)</f>
        <v>0</v>
      </c>
      <c r="H30" s="15">
        <f>SUM(Membership!H27+GA!H27+Education!H27+Events!H28+Communications!H27+Admin!H27)</f>
        <v>0</v>
      </c>
      <c r="I30" s="15">
        <f>SUM(Membership!I27+GA!I27+Education!I27+Events!I28+Communications!I27+Admin!I27)</f>
        <v>0</v>
      </c>
      <c r="J30" s="15">
        <f>SUM(Membership!J27+GA!J27+Education!J27+Events!J28+Communications!J27+Admin!J27)</f>
        <v>0</v>
      </c>
      <c r="K30" s="15">
        <f>SUM(Membership!K27+GA!K27+Education!K27+Events!K28+Communications!K27+Admin!K27)</f>
        <v>0</v>
      </c>
      <c r="L30" s="15">
        <f>SUM(Membership!L27+GA!L27+Education!L27+Events!L28+Communications!L27+Admin!L27)</f>
        <v>0</v>
      </c>
      <c r="M30" s="15">
        <f>SUM(Membership!M27+GA!M27+Education!M27+Events!M28+Communications!M27+Admin!M27)</f>
        <v>0</v>
      </c>
      <c r="N30" s="15">
        <f>SUM(Membership!N27+GA!N27+Education!N27+Events!N28+Communications!N27+Admin!N27)</f>
        <v>0</v>
      </c>
      <c r="O30" s="46">
        <f>150</f>
        <v>150</v>
      </c>
      <c r="P30" s="46">
        <f>0</f>
        <v>0</v>
      </c>
      <c r="Q30" s="46">
        <f t="shared" ref="Q30:Q44" si="7">N30-O30</f>
        <v>-150</v>
      </c>
      <c r="R30" s="125"/>
    </row>
    <row r="31" spans="1:18" ht="14.25" hidden="1" customHeight="1" x14ac:dyDescent="0.25">
      <c r="A31" s="16" t="s">
        <v>51</v>
      </c>
      <c r="B31" s="15">
        <f>SUM(Membership!B28+GA!B28+Education!B28+Events!B29+Communications!B28+Admin!B28)</f>
        <v>0</v>
      </c>
      <c r="C31" s="15">
        <f>SUM(Membership!C28+GA!C28+Education!C28+Events!C29+Communications!C28+Admin!C28)</f>
        <v>0</v>
      </c>
      <c r="D31" s="15">
        <f>SUM(Membership!D28+GA!D28+Education!D28+Events!D29+Communications!D28+Admin!D28)</f>
        <v>0</v>
      </c>
      <c r="E31" s="15">
        <f>SUM(Membership!E28+GA!E28+Education!E28+Events!E29+Communications!E28+Admin!E28)</f>
        <v>0</v>
      </c>
      <c r="F31" s="15">
        <f>SUM(Membership!F28+GA!F28+Education!F28+Events!F29+Communications!F28+Admin!F28)</f>
        <v>0</v>
      </c>
      <c r="G31" s="15">
        <f>SUM(Membership!G28+GA!G28+Education!G28+Events!G29+Communications!G28+Admin!G28)</f>
        <v>0</v>
      </c>
      <c r="H31" s="15">
        <f>SUM(Membership!H28+GA!H28+Education!H28+Events!H29+Communications!H28+Admin!H28)</f>
        <v>0</v>
      </c>
      <c r="I31" s="15">
        <f>SUM(Membership!I28+GA!I28+Education!I28+Events!I29+Communications!I28+Admin!I28)</f>
        <v>0</v>
      </c>
      <c r="J31" s="15">
        <f>SUM(Membership!J28+GA!J28+Education!J28+Events!J29+Communications!J28+Admin!J28)</f>
        <v>0</v>
      </c>
      <c r="K31" s="15">
        <f>SUM(Membership!K28+GA!K28+Education!K28+Events!K29+Communications!K28+Admin!K28)</f>
        <v>0</v>
      </c>
      <c r="L31" s="15">
        <f>SUM(Membership!L28+GA!L28+Education!L28+Events!L29+Communications!L28+Admin!L28)</f>
        <v>0</v>
      </c>
      <c r="M31" s="15">
        <f>SUM(Membership!M28+GA!M28+Education!M28+Events!M29+Communications!M28+Admin!M28)</f>
        <v>0</v>
      </c>
      <c r="N31" s="15">
        <f>SUM(Membership!N28+GA!N28+Education!N28+Events!N29+Communications!N28+Admin!N28)</f>
        <v>0</v>
      </c>
      <c r="O31" s="46">
        <f>1105</f>
        <v>1105</v>
      </c>
      <c r="P31" s="46">
        <f>750</f>
        <v>750</v>
      </c>
      <c r="Q31" s="46">
        <f t="shared" si="7"/>
        <v>-1105</v>
      </c>
      <c r="R31" s="125"/>
    </row>
    <row r="32" spans="1:18" ht="14.25" customHeight="1" x14ac:dyDescent="0.25">
      <c r="A32" s="16" t="s">
        <v>52</v>
      </c>
      <c r="B32" s="15">
        <f>SUM(Membership!B29+GA!B29+Education!B29+Events!B30+Communications!B29+Admin!B29)</f>
        <v>0</v>
      </c>
      <c r="C32" s="15">
        <f>SUM(Membership!C29+GA!C29+Education!C29+Events!C30+Communications!C29+Admin!C29)</f>
        <v>0</v>
      </c>
      <c r="D32" s="15">
        <f>SUM(Membership!D29+GA!D29+Education!D29+Events!D30+Communications!D29+Admin!D29)</f>
        <v>0</v>
      </c>
      <c r="E32" s="15">
        <f>SUM(Membership!E29+GA!E29+Education!E29+Events!E30+Communications!E29+Admin!E29)</f>
        <v>0</v>
      </c>
      <c r="F32" s="15">
        <f>SUM(Membership!F29+GA!F29+Education!F29+Events!F30+Communications!F29+Admin!F29)</f>
        <v>0</v>
      </c>
      <c r="G32" s="15">
        <f>SUM(Membership!G29+GA!G29+Education!G29+Events!G30+Communications!G29+Admin!G29)</f>
        <v>0</v>
      </c>
      <c r="H32" s="15">
        <f>SUM(Membership!H29+GA!H29+Education!H29+Events!H30+Communications!H29+Admin!H29)</f>
        <v>0</v>
      </c>
      <c r="I32" s="15">
        <f>SUM(Membership!I29+GA!I29+Education!I29+Events!I30+Communications!I29+Admin!I29)</f>
        <v>0</v>
      </c>
      <c r="J32" s="15">
        <f>SUM(Membership!J29+GA!J29+Education!J29+Events!J30+Communications!J29+Admin!J29)</f>
        <v>0</v>
      </c>
      <c r="K32" s="15">
        <f>SUM(Membership!K29+GA!K29+Education!K29+Events!K30+Communications!K29+Admin!K29)</f>
        <v>0</v>
      </c>
      <c r="L32" s="15">
        <f>SUM(Membership!L29+GA!L29+Education!L29+Events!L30+Communications!L29+Admin!L29)</f>
        <v>0</v>
      </c>
      <c r="M32" s="15">
        <f>SUM(Membership!M29+GA!M29+Education!M29+Events!M30+Communications!M29+Admin!M29)</f>
        <v>24000</v>
      </c>
      <c r="N32" s="15">
        <f>SUM(Membership!N29+GA!N29+Education!N29+Events!N30+Communications!N29+Admin!N29)</f>
        <v>24000</v>
      </c>
      <c r="O32" s="46">
        <f>24279</f>
        <v>24279</v>
      </c>
      <c r="P32" s="46">
        <f>22500</f>
        <v>22500</v>
      </c>
      <c r="Q32" s="46">
        <f t="shared" si="7"/>
        <v>-279</v>
      </c>
      <c r="R32" s="125"/>
    </row>
    <row r="33" spans="1:18" ht="14.25" hidden="1" customHeight="1" x14ac:dyDescent="0.25">
      <c r="A33" s="16" t="s">
        <v>53</v>
      </c>
      <c r="B33" s="15">
        <f>SUM(Membership!B30+GA!B30+Education!B30+Events!B31+Communications!B30+Admin!B30)</f>
        <v>0</v>
      </c>
      <c r="C33" s="15">
        <f>SUM(Membership!C30+GA!C30+Education!C30+Events!C31+Communications!C30+Admin!C30)</f>
        <v>0</v>
      </c>
      <c r="D33" s="15">
        <f>SUM(Membership!D30+GA!D30+Education!D30+Events!D31+Communications!D30+Admin!D30)</f>
        <v>0</v>
      </c>
      <c r="E33" s="15">
        <f>SUM(Membership!E30+GA!E30+Education!E30+Events!E31+Communications!E30+Admin!E30)</f>
        <v>0</v>
      </c>
      <c r="F33" s="15">
        <f>SUM(Membership!F30+GA!F30+Education!F30+Events!F31+Communications!F30+Admin!F30)</f>
        <v>0</v>
      </c>
      <c r="G33" s="15">
        <f>SUM(Membership!G30+GA!G30+Education!G30+Events!G31+Communications!G30+Admin!G30)</f>
        <v>0</v>
      </c>
      <c r="H33" s="15">
        <f>SUM(Membership!H30+GA!H30+Education!H30+Events!H31+Communications!H30+Admin!H30)</f>
        <v>0</v>
      </c>
      <c r="I33" s="15">
        <f>SUM(Membership!I30+GA!I30+Education!I30+Events!I31+Communications!I30+Admin!I30)</f>
        <v>0</v>
      </c>
      <c r="J33" s="15">
        <f>SUM(Membership!J30+GA!J30+Education!J30+Events!J31+Communications!J30+Admin!J30)</f>
        <v>0</v>
      </c>
      <c r="K33" s="15">
        <f>SUM(Membership!K30+GA!K30+Education!K30+Events!K31+Communications!K30+Admin!K30)</f>
        <v>0</v>
      </c>
      <c r="L33" s="15">
        <f>SUM(Membership!L30+GA!L30+Education!L30+Events!L31+Communications!L30+Admin!L30)</f>
        <v>0</v>
      </c>
      <c r="M33" s="15">
        <f>SUM(Membership!M30+GA!M30+Education!M30+Events!M31+Communications!M30+Admin!M30)</f>
        <v>0</v>
      </c>
      <c r="N33" s="15">
        <f>SUM(Membership!N30+GA!N30+Education!N30+Events!N31+Communications!N30+Admin!N30)</f>
        <v>0</v>
      </c>
      <c r="O33" s="46"/>
      <c r="P33" s="46"/>
      <c r="Q33" s="46">
        <f t="shared" si="7"/>
        <v>0</v>
      </c>
      <c r="R33" s="125"/>
    </row>
    <row r="34" spans="1:18" s="57" customFormat="1" ht="14.25" customHeight="1" x14ac:dyDescent="0.25">
      <c r="A34" s="54" t="s">
        <v>54</v>
      </c>
      <c r="B34" s="55">
        <f>SUM(Membership!B31+GA!B31+Education!B31+Events!B32+Communications!B31+Admin!B31)</f>
        <v>0</v>
      </c>
      <c r="C34" s="55">
        <f>SUM(Membership!C31+GA!C31+Education!C31+Events!C32+Communications!C31+Admin!C31)</f>
        <v>0</v>
      </c>
      <c r="D34" s="55">
        <f>SUM(Membership!D31+GA!D31+Education!D31+Events!D32+Communications!D31+Admin!D31)</f>
        <v>0</v>
      </c>
      <c r="E34" s="55">
        <f>SUM(Membership!E31+GA!E31+Education!E31+Events!E32+Communications!E31+Admin!E31)</f>
        <v>0</v>
      </c>
      <c r="F34" s="55">
        <f>SUM(Membership!F31+GA!F31+Education!F31+Events!F32+Communications!F31+Admin!F31)</f>
        <v>0</v>
      </c>
      <c r="G34" s="55">
        <f>SUM(Membership!G31+GA!G31+Education!G31+Events!G32+Communications!G31+Admin!G31)</f>
        <v>600</v>
      </c>
      <c r="H34" s="55">
        <f>SUM(Membership!H31+GA!H31+Education!H31+Events!H32+Communications!H31+Admin!H31)</f>
        <v>0</v>
      </c>
      <c r="I34" s="55">
        <f>SUM(Membership!I31+GA!I31+Education!I31+Events!I32+Communications!I31+Admin!I31)</f>
        <v>1400</v>
      </c>
      <c r="J34" s="55">
        <f>SUM(Membership!J31+GA!J31+Education!J31+Events!J32+Communications!J31+Admin!J31)</f>
        <v>0</v>
      </c>
      <c r="K34" s="55">
        <f>SUM(Membership!K31+GA!K31+Education!K31+Events!K32+Communications!K31+Admin!K31)</f>
        <v>0</v>
      </c>
      <c r="L34" s="55">
        <f>SUM(Membership!L31+GA!L31+Education!L31+Events!L32+Communications!L31+Admin!L31)</f>
        <v>1700</v>
      </c>
      <c r="M34" s="55">
        <f>SUM(Membership!M31+GA!M31+Education!M31+Events!M32+Communications!M31+Admin!M31)</f>
        <v>0</v>
      </c>
      <c r="N34" s="55">
        <f>SUM(Membership!N31+GA!N31+Education!N31+Events!N32+Communications!N31+Admin!N31)</f>
        <v>3700</v>
      </c>
      <c r="O34" s="56">
        <f>3496.64</f>
        <v>3496.64</v>
      </c>
      <c r="P34" s="56">
        <f>3700</f>
        <v>3700</v>
      </c>
      <c r="Q34" s="56">
        <f t="shared" si="7"/>
        <v>203.36000000000013</v>
      </c>
      <c r="R34" s="127"/>
    </row>
    <row r="35" spans="1:18" s="57" customFormat="1" ht="14.25" hidden="1" customHeight="1" x14ac:dyDescent="0.25">
      <c r="A35" s="54" t="s">
        <v>55</v>
      </c>
      <c r="B35" s="55">
        <f>SUM(Membership!B32+GA!B32+Education!B32+Events!B33+Communications!B32+Admin!B32)</f>
        <v>0</v>
      </c>
      <c r="C35" s="55">
        <f>SUM(Membership!C32+GA!C32+Education!C32+Events!C33+Communications!C32+Admin!C32)</f>
        <v>0</v>
      </c>
      <c r="D35" s="55">
        <f>SUM(Membership!D32+GA!D32+Education!D32+Events!D33+Communications!D32+Admin!D32)</f>
        <v>0</v>
      </c>
      <c r="E35" s="55">
        <f>SUM(Membership!E32+GA!E32+Education!E32+Events!E33+Communications!E32+Admin!E32)</f>
        <v>0</v>
      </c>
      <c r="F35" s="55">
        <f>SUM(Membership!F32+GA!F32+Education!F32+Events!F33+Communications!F32+Admin!F32)</f>
        <v>0</v>
      </c>
      <c r="G35" s="55">
        <f>SUM(Membership!G32+GA!G32+Education!G32+Events!G33+Communications!G32+Admin!G32)</f>
        <v>0</v>
      </c>
      <c r="H35" s="55">
        <f>SUM(Membership!H32+GA!H32+Education!H32+Events!H33+Communications!H32+Admin!H32)</f>
        <v>0</v>
      </c>
      <c r="I35" s="55">
        <f>SUM(Membership!I32+GA!I32+Education!I32+Events!I33+Communications!I32+Admin!I32)</f>
        <v>0</v>
      </c>
      <c r="J35" s="55">
        <f>SUM(Membership!J32+GA!J32+Education!J32+Events!J33+Communications!J32+Admin!J32)</f>
        <v>0</v>
      </c>
      <c r="K35" s="55">
        <f>SUM(Membership!K32+GA!K32+Education!K32+Events!K33+Communications!K32+Admin!K32)</f>
        <v>0</v>
      </c>
      <c r="L35" s="55">
        <f>SUM(Membership!L32+GA!L32+Education!L32+Events!L33+Communications!L32+Admin!L32)</f>
        <v>0</v>
      </c>
      <c r="M35" s="55">
        <f>SUM(Membership!M32+GA!M32+Education!M32+Events!M33+Communications!M32+Admin!M32)</f>
        <v>0</v>
      </c>
      <c r="N35" s="55">
        <f>SUM(Membership!N32+GA!N32+Education!N32+Events!N33+Communications!N32+Admin!N32)</f>
        <v>0</v>
      </c>
      <c r="O35" s="56">
        <f>57.55</f>
        <v>57.55</v>
      </c>
      <c r="P35" s="56">
        <f>6468</f>
        <v>6468</v>
      </c>
      <c r="Q35" s="56">
        <f t="shared" si="7"/>
        <v>-57.55</v>
      </c>
      <c r="R35" s="127"/>
    </row>
    <row r="36" spans="1:18" ht="14.25" customHeight="1" x14ac:dyDescent="0.25">
      <c r="A36" s="16" t="s">
        <v>56</v>
      </c>
      <c r="B36" s="15">
        <f>SUM(Membership!B33+GA!B33+Education!B33+Events!B34+Communications!B33+Admin!B33)</f>
        <v>1566</v>
      </c>
      <c r="C36" s="15">
        <f>SUM(Membership!C33+GA!C33+Education!C33+Events!C34+Communications!C33+Admin!C33)</f>
        <v>1566</v>
      </c>
      <c r="D36" s="15">
        <f>SUM(Membership!D33+GA!D33+Education!D33+Events!D34+Communications!D33+Admin!D33)</f>
        <v>1815</v>
      </c>
      <c r="E36" s="15">
        <f>SUM(Membership!E33+GA!E33+Education!E33+Events!E34+Communications!E33+Admin!E33)</f>
        <v>1815</v>
      </c>
      <c r="F36" s="15">
        <f>SUM(Membership!F33+GA!F33+Education!F33+Events!F34+Communications!F33+Admin!F33)</f>
        <v>2000</v>
      </c>
      <c r="G36" s="15">
        <f>SUM(Membership!G33+GA!G33+Education!G33+Events!G34+Communications!G33+Admin!G33)</f>
        <v>2000</v>
      </c>
      <c r="H36" s="15">
        <f>SUM(Membership!H33+GA!H33+Education!H33+Events!H34+Communications!H33+Admin!H33)</f>
        <v>2000</v>
      </c>
      <c r="I36" s="15">
        <f>SUM(Membership!I33+GA!I33+Education!I33+Events!I34+Communications!I33+Admin!I33)</f>
        <v>2000</v>
      </c>
      <c r="J36" s="15">
        <f>SUM(Membership!J33+GA!J33+Education!J33+Events!J34+Communications!J33+Admin!J33)</f>
        <v>2000</v>
      </c>
      <c r="K36" s="15">
        <f>SUM(Membership!K33+GA!K33+Education!K33+Events!K34+Communications!K33+Admin!K33)</f>
        <v>2000</v>
      </c>
      <c r="L36" s="15">
        <f>SUM(Membership!L33+GA!L33+Education!L33+Events!L34+Communications!L33+Admin!L33)</f>
        <v>2000</v>
      </c>
      <c r="M36" s="15">
        <f>SUM(Membership!M33+GA!M33+Education!M33+Events!M34+Communications!M33+Admin!M33)</f>
        <v>2000</v>
      </c>
      <c r="N36" s="15">
        <f>SUM(Membership!N33+GA!N33+Education!N33+Events!N34+Communications!N33+Admin!N33)</f>
        <v>22762</v>
      </c>
      <c r="O36" s="46">
        <f>22183</f>
        <v>22183</v>
      </c>
      <c r="P36" s="46">
        <f>23928</f>
        <v>23928</v>
      </c>
      <c r="Q36" s="46">
        <f t="shared" si="7"/>
        <v>579</v>
      </c>
      <c r="R36" s="125"/>
    </row>
    <row r="37" spans="1:18" ht="14.25" hidden="1" customHeight="1" x14ac:dyDescent="0.25">
      <c r="A37" s="16" t="s">
        <v>57</v>
      </c>
      <c r="B37" s="15">
        <f>SUM(Membership!B34+GA!B34+Education!B34+Events!B35+Communications!B34+Admin!B34)</f>
        <v>0</v>
      </c>
      <c r="C37" s="15">
        <f>SUM(Membership!C34+GA!C34+Education!C34+Events!C35+Communications!C34+Admin!C34)</f>
        <v>0</v>
      </c>
      <c r="D37" s="15">
        <f>SUM(Membership!D34+GA!D34+Education!D34+Events!D35+Communications!D34+Admin!D34)</f>
        <v>0</v>
      </c>
      <c r="E37" s="15">
        <f>SUM(Membership!E34+GA!E34+Education!E34+Events!E35+Communications!E34+Admin!E34)</f>
        <v>0</v>
      </c>
      <c r="F37" s="15">
        <f>SUM(Membership!F34+GA!F34+Education!F34+Events!F35+Communications!F34+Admin!F34)</f>
        <v>0</v>
      </c>
      <c r="G37" s="15">
        <f>SUM(Membership!G34+GA!G34+Education!G34+Events!G35+Communications!G34+Admin!G34)</f>
        <v>0</v>
      </c>
      <c r="H37" s="15">
        <f>SUM(Membership!H34+GA!H34+Education!H34+Events!H35+Communications!H34+Admin!H34)</f>
        <v>0</v>
      </c>
      <c r="I37" s="15">
        <f>SUM(Membership!I34+GA!I34+Education!I34+Events!I35+Communications!I34+Admin!I34)</f>
        <v>0</v>
      </c>
      <c r="J37" s="15">
        <f>SUM(Membership!J34+GA!J34+Education!J34+Events!J35+Communications!J34+Admin!J34)</f>
        <v>0</v>
      </c>
      <c r="K37" s="15">
        <f>SUM(Membership!K34+GA!K34+Education!K34+Events!K35+Communications!K34+Admin!K34)</f>
        <v>0</v>
      </c>
      <c r="L37" s="15">
        <f>SUM(Membership!L34+GA!L34+Education!L34+Events!L35+Communications!L34+Admin!L34)</f>
        <v>0</v>
      </c>
      <c r="M37" s="15">
        <f>SUM(Membership!M34+GA!M34+Education!M34+Events!M35+Communications!M34+Admin!M34)</f>
        <v>0</v>
      </c>
      <c r="N37" s="15">
        <f>SUM(Membership!N34+GA!N34+Education!N34+Events!N35+Communications!N34+Admin!N34)</f>
        <v>0</v>
      </c>
      <c r="O37" s="46"/>
      <c r="P37" s="46"/>
      <c r="Q37" s="46">
        <f t="shared" si="7"/>
        <v>0</v>
      </c>
      <c r="R37" s="125"/>
    </row>
    <row r="38" spans="1:18" ht="14.25" hidden="1" customHeight="1" x14ac:dyDescent="0.25">
      <c r="A38" s="16" t="s">
        <v>58</v>
      </c>
      <c r="B38" s="15">
        <f>SUM(Membership!B35+GA!B35+Education!B35+Events!B36+Communications!B35+Admin!B35)</f>
        <v>0</v>
      </c>
      <c r="C38" s="15">
        <f>SUM(Membership!C35+GA!C35+Education!C35+Events!C36+Communications!C35+Admin!C35)</f>
        <v>0</v>
      </c>
      <c r="D38" s="15">
        <f>SUM(Membership!D35+GA!D35+Education!D35+Events!D36+Communications!D35+Admin!D35)</f>
        <v>0</v>
      </c>
      <c r="E38" s="15">
        <f>SUM(Membership!E35+GA!E35+Education!E35+Events!E36+Communications!E35+Admin!E35)</f>
        <v>0</v>
      </c>
      <c r="F38" s="15">
        <f>SUM(Membership!F35+GA!F35+Education!F35+Events!F36+Communications!F35+Admin!F35)</f>
        <v>0</v>
      </c>
      <c r="G38" s="15">
        <f>SUM(Membership!G35+GA!G35+Education!G35+Events!G36+Communications!G35+Admin!G35)</f>
        <v>0</v>
      </c>
      <c r="H38" s="15">
        <f>SUM(Membership!H35+GA!H35+Education!H35+Events!H36+Communications!H35+Admin!H35)</f>
        <v>0</v>
      </c>
      <c r="I38" s="15">
        <f>SUM(Membership!I35+GA!I35+Education!I35+Events!I36+Communications!I35+Admin!I35)</f>
        <v>0</v>
      </c>
      <c r="J38" s="15">
        <f>SUM(Membership!J35+GA!J35+Education!J35+Events!J36+Communications!J35+Admin!J35)</f>
        <v>0</v>
      </c>
      <c r="K38" s="15">
        <f>SUM(Membership!K35+GA!K35+Education!K35+Events!K36+Communications!K35+Admin!K35)</f>
        <v>0</v>
      </c>
      <c r="L38" s="15">
        <f>SUM(Membership!L35+GA!L35+Education!L35+Events!L36+Communications!L35+Admin!L35)</f>
        <v>0</v>
      </c>
      <c r="M38" s="15">
        <f>SUM(Membership!M35+GA!M35+Education!M35+Events!M36+Communications!M35+Admin!M35)</f>
        <v>0</v>
      </c>
      <c r="N38" s="15">
        <f>SUM(Membership!N35+GA!N35+Education!N35+Events!N36+Communications!N35+Admin!N35)</f>
        <v>0</v>
      </c>
      <c r="O38" s="46">
        <f>12.03</f>
        <v>12.03</v>
      </c>
      <c r="P38" s="46">
        <f>48</f>
        <v>48</v>
      </c>
      <c r="Q38" s="46">
        <f t="shared" si="7"/>
        <v>-12.03</v>
      </c>
      <c r="R38" s="125"/>
    </row>
    <row r="39" spans="1:18" s="57" customFormat="1" ht="14.25" hidden="1" customHeight="1" x14ac:dyDescent="0.25">
      <c r="A39" s="54" t="s">
        <v>59</v>
      </c>
      <c r="B39" s="55">
        <f>SUM(Membership!B36+GA!B36+Education!B36+Events!B37+Communications!B36+Admin!B36)</f>
        <v>21200</v>
      </c>
      <c r="C39" s="55">
        <f>SUM(Membership!C36+GA!C36+Education!C36+Events!C37+Communications!C36+Admin!C36)</f>
        <v>23500</v>
      </c>
      <c r="D39" s="55">
        <f>SUM(Membership!D36+GA!D36+Education!D36+Events!D37+Communications!D36+Admin!D36)</f>
        <v>22000</v>
      </c>
      <c r="E39" s="55">
        <f>SUM(Membership!E36+GA!E36+Education!E36+Events!E37+Communications!E36+Admin!E36)</f>
        <v>25000</v>
      </c>
      <c r="F39" s="55">
        <f>SUM(Membership!F36+GA!F36+Education!F36+Events!F37+Communications!F36+Admin!F36)</f>
        <v>25000</v>
      </c>
      <c r="G39" s="55">
        <f>SUM(Membership!G36+GA!G36+Education!G36+Events!G37+Communications!G36+Admin!G36)</f>
        <v>15000</v>
      </c>
      <c r="H39" s="55">
        <f>SUM(Membership!H36+GA!H36+Education!H36+Events!H37+Communications!H36+Admin!H36)</f>
        <v>21000</v>
      </c>
      <c r="I39" s="55">
        <f>SUM(Membership!I36+GA!I36+Education!I36+Events!I37+Communications!I36+Admin!I36)</f>
        <v>20000</v>
      </c>
      <c r="J39" s="55">
        <f>SUM(Membership!J36+GA!J36+Education!J36+Events!J37+Communications!J36+Admin!J36)</f>
        <v>22000</v>
      </c>
      <c r="K39" s="55">
        <f>SUM(Membership!K36+GA!K36+Education!K36+Events!K37+Communications!K36+Admin!K36)</f>
        <v>22000</v>
      </c>
      <c r="L39" s="55">
        <f>SUM(Membership!L36+GA!L36+Education!L36+Events!L37+Communications!L36+Admin!L36)</f>
        <v>21000</v>
      </c>
      <c r="M39" s="55">
        <f>SUM(Membership!M36+GA!M36+Education!M36+Events!M37+Communications!M36+Admin!M36)</f>
        <v>21000</v>
      </c>
      <c r="N39" s="55">
        <f>SUM(Membership!N36+GA!N36+Education!N36+Events!N37+Communications!N36+Admin!N36)</f>
        <v>258700</v>
      </c>
      <c r="O39" s="56">
        <f>262643.44</f>
        <v>262643.44</v>
      </c>
      <c r="P39" s="56">
        <f>252822</f>
        <v>252822</v>
      </c>
      <c r="Q39" s="56">
        <f t="shared" si="7"/>
        <v>-3943.4400000000023</v>
      </c>
      <c r="R39" s="127"/>
    </row>
    <row r="40" spans="1:18" s="57" customFormat="1" ht="14.25" customHeight="1" x14ac:dyDescent="0.25">
      <c r="A40" s="54" t="s">
        <v>60</v>
      </c>
      <c r="B40" s="55">
        <f>SUM(Membership!B37+GA!B37+Education!B37+Events!B38+Communications!B37+Admin!B37)</f>
        <v>1000</v>
      </c>
      <c r="C40" s="55">
        <f>SUM(Membership!C37+GA!C37+Education!C37+Events!C38+Communications!C37+Admin!C37)</f>
        <v>1000</v>
      </c>
      <c r="D40" s="55">
        <f>SUM(Membership!D37+GA!D37+Education!D37+Events!D38+Communications!D37+Admin!D37)</f>
        <v>1000</v>
      </c>
      <c r="E40" s="55">
        <f>SUM(Membership!E37+GA!E37+Education!E37+Events!E38+Communications!E37+Admin!E37)</f>
        <v>1000</v>
      </c>
      <c r="F40" s="55">
        <f>SUM(Membership!F37+GA!F37+Education!F37+Events!F38+Communications!F37+Admin!F37)</f>
        <v>1000</v>
      </c>
      <c r="G40" s="55">
        <f>SUM(Membership!G37+GA!G37+Education!G37+Events!G38+Communications!G37+Admin!G37)</f>
        <v>1000</v>
      </c>
      <c r="H40" s="55">
        <f>SUM(Membership!H37+GA!H37+Education!H37+Events!H38+Communications!H37+Admin!H37)</f>
        <v>1000</v>
      </c>
      <c r="I40" s="55">
        <f>SUM(Membership!I37+GA!I37+Education!I37+Events!I38+Communications!I37+Admin!I37)</f>
        <v>1000</v>
      </c>
      <c r="J40" s="55">
        <f>SUM(Membership!J37+GA!J37+Education!J37+Events!J38+Communications!J37+Admin!J37)</f>
        <v>1000</v>
      </c>
      <c r="K40" s="55">
        <f>SUM(Membership!K37+GA!K37+Education!K37+Events!K38+Communications!K37+Admin!K37)</f>
        <v>1000</v>
      </c>
      <c r="L40" s="55">
        <f>SUM(Membership!L37+GA!L37+Education!L37+Events!L38+Communications!L37+Admin!L37)</f>
        <v>1000</v>
      </c>
      <c r="M40" s="55">
        <f>SUM(Membership!M37+GA!M37+Education!M37+Events!M38+Communications!M37+Admin!M37)</f>
        <v>1000</v>
      </c>
      <c r="N40" s="55">
        <f>SUM(B40:M40)</f>
        <v>12000</v>
      </c>
      <c r="O40" s="56">
        <f>12300</f>
        <v>12300</v>
      </c>
      <c r="P40" s="56">
        <f>12000</f>
        <v>12000</v>
      </c>
      <c r="Q40" s="56">
        <f t="shared" si="7"/>
        <v>-300</v>
      </c>
      <c r="R40" s="127"/>
    </row>
    <row r="41" spans="1:18" ht="14.25" customHeight="1" x14ac:dyDescent="0.25">
      <c r="A41" s="16" t="s">
        <v>61</v>
      </c>
      <c r="B41" s="15">
        <f>SUM(Membership!B38+GA!B38+Education!B38+Events!B39+Communications!B38)</f>
        <v>1200</v>
      </c>
      <c r="C41" s="15">
        <f>SUM(Membership!C38+GA!C38+Education!C38+Events!C39+Communications!C38+Admin!C38)</f>
        <v>1200</v>
      </c>
      <c r="D41" s="15">
        <f>SUM(Membership!D38+GA!D38+Education!D38+Events!D39+Communications!D38+Admin!D38)</f>
        <v>1200</v>
      </c>
      <c r="E41" s="15">
        <f>SUM(Membership!E38+GA!E38+Education!E38+Events!E39+Communications!E38+Admin!E38)</f>
        <v>1200</v>
      </c>
      <c r="F41" s="15">
        <f>SUM(Membership!F38+GA!F38+Education!F38+Events!F39+Communications!F38+Admin!F38)</f>
        <v>2800</v>
      </c>
      <c r="G41" s="15">
        <f>SUM(Membership!G38+GA!G38+Education!G38+Events!G39+Communications!G38+Admin!G38)</f>
        <v>2800</v>
      </c>
      <c r="H41" s="15">
        <f>SUM(Membership!H38+GA!H38+Education!H38+Events!H39+Communications!H38+Admin!H38)</f>
        <v>2800</v>
      </c>
      <c r="I41" s="15">
        <f>SUM(Membership!I38+GA!I38+Education!I38+Events!I39+Communications!I38+Admin!I38)</f>
        <v>2800</v>
      </c>
      <c r="J41" s="15">
        <f>SUM(Membership!J38+GA!J38+Education!J38+Events!J39+Communications!J38+Admin!J38)</f>
        <v>2800</v>
      </c>
      <c r="K41" s="15">
        <f>SUM(Membership!K38+GA!K38+Education!K38+Events!K39+Communications!K38+Admin!K38)</f>
        <v>2800</v>
      </c>
      <c r="L41" s="15">
        <f>SUM(Membership!L38+GA!L38+Education!L38+Events!L39+Communications!L38+Admin!L38)</f>
        <v>2800</v>
      </c>
      <c r="M41" s="15">
        <f>SUM(Membership!M38+GA!M38+Education!M38+Events!M39+Communications!M38+Admin!M38)</f>
        <v>2800</v>
      </c>
      <c r="N41" s="15">
        <f>SUM(Membership!N38+GA!N38+Education!N38+Events!N39+Communications!N38+Admin!N38)</f>
        <v>27200</v>
      </c>
      <c r="O41" s="46">
        <f>26800</f>
        <v>26800</v>
      </c>
      <c r="P41" s="46">
        <f>15600</f>
        <v>15600</v>
      </c>
      <c r="Q41" s="46">
        <f t="shared" si="7"/>
        <v>400</v>
      </c>
      <c r="R41" s="125"/>
    </row>
    <row r="42" spans="1:18" ht="14.25" hidden="1" customHeight="1" x14ac:dyDescent="0.25">
      <c r="A42" s="16" t="s">
        <v>62</v>
      </c>
      <c r="B42" s="15">
        <f>SUM(Membership!B39+GA!B39+Education!B39+Events!B40+Communications!B39+Admin!B38)</f>
        <v>0</v>
      </c>
      <c r="C42" s="15">
        <f>SUM(Membership!C39+GA!C39+Education!C39+Events!C40+Communications!C39+Admin!C39)</f>
        <v>0</v>
      </c>
      <c r="D42" s="15">
        <f>SUM(Membership!D39+GA!D39+Education!D39+Events!D40+Communications!D39+Admin!D39)</f>
        <v>0</v>
      </c>
      <c r="E42" s="15">
        <f>SUM(Membership!E39+GA!E39+Education!E39+Events!E40+Communications!E39+Admin!E39)</f>
        <v>0</v>
      </c>
      <c r="F42" s="15">
        <f>SUM(Membership!F39+GA!F39+Education!F39+Events!F40+Communications!F39+Admin!F39)</f>
        <v>0</v>
      </c>
      <c r="G42" s="15">
        <f>SUM(Membership!G39+GA!G39+Education!G39+Events!G40+Communications!G39+Admin!G39)</f>
        <v>0</v>
      </c>
      <c r="H42" s="15">
        <f>SUM(Membership!H39+GA!H39+Education!H39+Events!H40+Communications!H39+Admin!H39)</f>
        <v>0</v>
      </c>
      <c r="I42" s="15">
        <f>SUM(Membership!I39+GA!I39+Education!I39+Events!I40+Communications!I39+Admin!I39)</f>
        <v>0</v>
      </c>
      <c r="J42" s="15">
        <f>SUM(Membership!J39+GA!J39+Education!J39+Events!J40+Communications!J39+Admin!J39)</f>
        <v>0</v>
      </c>
      <c r="K42" s="15">
        <f>SUM(Membership!K39+GA!K39+Education!K39+Events!K40+Communications!K39+Admin!K39)</f>
        <v>0</v>
      </c>
      <c r="L42" s="15">
        <f>SUM(Membership!L39+GA!L39+Education!L39+Events!L40+Communications!L39+Admin!L39)</f>
        <v>0</v>
      </c>
      <c r="M42" s="15">
        <f>SUM(Membership!M39+GA!M39+Education!M39+Events!M40+Communications!M39+Admin!M39)</f>
        <v>0</v>
      </c>
      <c r="N42" s="15">
        <f>SUM(Membership!N39+GA!N39+Education!N39+Events!N40+Communications!N39+Admin!N39)</f>
        <v>0</v>
      </c>
      <c r="O42" s="46">
        <f>10363.02</f>
        <v>10363.02</v>
      </c>
      <c r="P42" s="46">
        <f>6999.96</f>
        <v>6999.96</v>
      </c>
      <c r="Q42" s="46">
        <f t="shared" si="7"/>
        <v>-10363.02</v>
      </c>
      <c r="R42" s="125"/>
    </row>
    <row r="43" spans="1:18" ht="14.25" hidden="1" customHeight="1" x14ac:dyDescent="0.25">
      <c r="A43" s="14" t="s">
        <v>63</v>
      </c>
      <c r="B43" s="15">
        <f>SUM(Membership!B40+GA!B40+Education!B40+Events!B41+Communications!B40+Admin!B40)</f>
        <v>0</v>
      </c>
      <c r="C43" s="15">
        <f>SUM(Membership!C40+GA!C40+Education!C40+Events!C41+Communications!C40+Admin!C40)</f>
        <v>0</v>
      </c>
      <c r="D43" s="15">
        <f>SUM(Membership!D40+GA!D40+Education!D40+Events!D41+Communications!D40+Admin!D40)</f>
        <v>0</v>
      </c>
      <c r="E43" s="15">
        <f>SUM(Membership!E40+GA!E40+Education!E40+Events!E41+Communications!E40+Admin!E40)</f>
        <v>0</v>
      </c>
      <c r="F43" s="15">
        <f>SUM(Membership!F40+GA!F40+Education!F40+Events!F41+Communications!F40+Admin!F40)</f>
        <v>0</v>
      </c>
      <c r="G43" s="15">
        <f>SUM(Membership!G40+GA!G40+Education!G40+Events!G41+Communications!G40+Admin!G40)</f>
        <v>0</v>
      </c>
      <c r="H43" s="15">
        <f>SUM(Membership!H40+GA!H40+Education!H40+Events!H41+Communications!H40+Admin!H40)</f>
        <v>0</v>
      </c>
      <c r="I43" s="15">
        <f>SUM(Membership!I40+GA!I40+Education!I40+Events!I41+Communications!I40+Admin!I40)</f>
        <v>0</v>
      </c>
      <c r="J43" s="15">
        <f>SUM(Membership!J40+GA!J40+Education!J40+Events!J41+Communications!J40+Admin!J40)</f>
        <v>0</v>
      </c>
      <c r="K43" s="15">
        <f>SUM(Membership!K40+GA!K40+Education!K40+Events!K41+Communications!K40+Admin!K40)</f>
        <v>0</v>
      </c>
      <c r="L43" s="15">
        <f>SUM(Membership!L40+GA!L40+Education!L40+Events!L41+Communications!L40+Admin!L40)</f>
        <v>0</v>
      </c>
      <c r="M43" s="15">
        <f>SUM(Membership!M40+GA!M40+Education!M40+Events!M41+Communications!M40+Admin!M40)</f>
        <v>0</v>
      </c>
      <c r="O43" s="46"/>
      <c r="P43" s="46"/>
      <c r="Q43" s="46">
        <f t="shared" si="7"/>
        <v>0</v>
      </c>
      <c r="R43" s="125"/>
    </row>
    <row r="44" spans="1:18" s="39" customFormat="1" ht="14.25" hidden="1" customHeight="1" x14ac:dyDescent="0.25">
      <c r="A44" s="30" t="s">
        <v>165</v>
      </c>
      <c r="B44" s="31">
        <f>SUM(B29:B43)</f>
        <v>24966</v>
      </c>
      <c r="C44" s="31">
        <f t="shared" ref="C44:M44" si="8">SUM(C29:C43)</f>
        <v>27266</v>
      </c>
      <c r="D44" s="31">
        <f t="shared" si="8"/>
        <v>26015</v>
      </c>
      <c r="E44" s="31">
        <f t="shared" si="8"/>
        <v>29015</v>
      </c>
      <c r="F44" s="31">
        <f t="shared" si="8"/>
        <v>30800</v>
      </c>
      <c r="G44" s="31">
        <f t="shared" si="8"/>
        <v>21400</v>
      </c>
      <c r="H44" s="31">
        <f t="shared" si="8"/>
        <v>26800</v>
      </c>
      <c r="I44" s="31">
        <f t="shared" si="8"/>
        <v>27200</v>
      </c>
      <c r="J44" s="31">
        <f t="shared" si="8"/>
        <v>27800</v>
      </c>
      <c r="K44" s="31">
        <f t="shared" si="8"/>
        <v>27800</v>
      </c>
      <c r="L44" s="31">
        <f t="shared" si="8"/>
        <v>28500</v>
      </c>
      <c r="M44" s="31">
        <f t="shared" si="8"/>
        <v>50800</v>
      </c>
      <c r="N44" s="40">
        <f>SUM(B44:M44)</f>
        <v>348362</v>
      </c>
      <c r="O44" s="48">
        <f>SUM(O29:O43)</f>
        <v>365437.68000000005</v>
      </c>
      <c r="P44" s="48">
        <f>SUM(P29:P43)</f>
        <v>347923.96</v>
      </c>
      <c r="Q44" s="48">
        <f t="shared" si="7"/>
        <v>-17075.680000000051</v>
      </c>
      <c r="R44" s="48"/>
    </row>
    <row r="45" spans="1:18" s="34" customFormat="1" ht="14.25" hidden="1" customHeight="1" x14ac:dyDescent="0.25">
      <c r="A45" s="32" t="s">
        <v>64</v>
      </c>
      <c r="B45" s="33">
        <f>SUM(Membership!B41+GA!B41+Education!B41+Events!B42+Communications!B41+Admin!B41)</f>
        <v>0</v>
      </c>
      <c r="C45" s="33">
        <f>SUM(Membership!C41+GA!C41+Education!C41+Events!C42+Communications!C41+Admin!C41)</f>
        <v>0</v>
      </c>
      <c r="D45" s="33">
        <f>SUM(Membership!D41+GA!D41+Education!D41+Events!D42+Communications!D41+Admin!D41)</f>
        <v>0</v>
      </c>
      <c r="E45" s="33">
        <f>SUM(Membership!E41+GA!E41+Education!E41+Events!E42+Communications!E41+Admin!E41)</f>
        <v>0</v>
      </c>
      <c r="F45" s="33">
        <f>SUM(Membership!F41+GA!F41+Education!F41+Events!F42+Communications!F41+Admin!F41)</f>
        <v>0</v>
      </c>
      <c r="G45" s="33">
        <f>SUM(Membership!G41+GA!G41+Education!G41+Events!G42+Communications!G41+Admin!G41)</f>
        <v>0</v>
      </c>
      <c r="H45" s="33">
        <f>SUM(Membership!H41+GA!H41+Education!H41+Events!H42+Communications!H41+Admin!H41)</f>
        <v>0</v>
      </c>
      <c r="I45" s="33">
        <f>SUM(Membership!I41+GA!I41+Education!I41+Events!I42+Communications!I41+Admin!I41)</f>
        <v>0</v>
      </c>
      <c r="J45" s="33">
        <f>SUM(Membership!J41+GA!J41+Education!J41+Events!J42+Communications!J41+Admin!J41)</f>
        <v>0</v>
      </c>
      <c r="K45" s="33">
        <f>SUM(Membership!K41+GA!K41+Education!K41+Events!K42+Communications!K41+Admin!K41)</f>
        <v>0</v>
      </c>
      <c r="L45" s="33">
        <f>SUM(Membership!L41+GA!L41+Education!L41+Events!L42+Communications!L41+Admin!L41)</f>
        <v>0</v>
      </c>
      <c r="M45" s="33">
        <f>SUM(Membership!M41+GA!M41+Education!M41+Events!M42+Communications!M41+Admin!M41)</f>
        <v>0</v>
      </c>
      <c r="O45" s="49"/>
      <c r="P45" s="49"/>
      <c r="Q45" s="49"/>
      <c r="R45" s="126"/>
    </row>
    <row r="46" spans="1:18" s="38" customFormat="1" ht="14.25" hidden="1" customHeight="1" x14ac:dyDescent="0.25">
      <c r="A46" s="35" t="s">
        <v>65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50"/>
      <c r="P46" s="50"/>
      <c r="Q46" s="50"/>
      <c r="R46" s="50"/>
    </row>
    <row r="47" spans="1:18" ht="14.25" hidden="1" customHeight="1" x14ac:dyDescent="0.25">
      <c r="A47" s="16" t="s">
        <v>66</v>
      </c>
      <c r="B47" s="15">
        <f>30</f>
        <v>30</v>
      </c>
      <c r="C47" s="15">
        <f>20</f>
        <v>20</v>
      </c>
      <c r="D47" s="15">
        <f>75</f>
        <v>75</v>
      </c>
      <c r="E47" s="15">
        <f>45</f>
        <v>45</v>
      </c>
      <c r="F47" s="15">
        <f>60</f>
        <v>60</v>
      </c>
      <c r="G47" s="15">
        <f>90</f>
        <v>90</v>
      </c>
      <c r="H47" s="15">
        <f>75</f>
        <v>75</v>
      </c>
      <c r="I47" s="15">
        <f>15</f>
        <v>15</v>
      </c>
      <c r="J47" s="15">
        <f>45</f>
        <v>45</v>
      </c>
      <c r="K47" s="15">
        <f>20</f>
        <v>20</v>
      </c>
      <c r="L47" s="15">
        <f>15</f>
        <v>15</v>
      </c>
      <c r="M47" s="15">
        <f>20</f>
        <v>20</v>
      </c>
      <c r="N47" s="15">
        <f>SUM(B47:M47)</f>
        <v>510</v>
      </c>
      <c r="O47" s="46">
        <f>524.74</f>
        <v>524.74</v>
      </c>
      <c r="P47" s="46">
        <f>999.96</f>
        <v>999.96</v>
      </c>
      <c r="Q47" s="46">
        <f>N47-O47</f>
        <v>-14.740000000000009</v>
      </c>
      <c r="R47" s="125"/>
    </row>
    <row r="48" spans="1:18" ht="14.25" hidden="1" customHeight="1" x14ac:dyDescent="0.25">
      <c r="A48" s="16" t="s">
        <v>67</v>
      </c>
      <c r="B48" s="15">
        <f>SUM(Membership!B44+GA!B44+Education!B44+Events!B45+Communications!B44+Admin!B44)</f>
        <v>0</v>
      </c>
      <c r="C48" s="15">
        <f>SUM(Membership!C44+GA!C44+Education!C44+Events!C45+Communications!C44+Admin!C44)</f>
        <v>0</v>
      </c>
      <c r="D48" s="15">
        <f>SUM(Membership!D44+GA!D44+Education!D44+Events!D45+Communications!D44+Admin!D44)</f>
        <v>6500</v>
      </c>
      <c r="E48" s="15">
        <f>SUM(Membership!E44+GA!E44+Education!E44+Events!E45+Communications!E44+Admin!E44)</f>
        <v>6500</v>
      </c>
      <c r="F48" s="15">
        <f>SUM(Membership!F44+GA!F44+Education!F44+Events!F45+Communications!F44+Admin!F44)</f>
        <v>6500</v>
      </c>
      <c r="G48" s="15">
        <f>SUM(Membership!G44+GA!G44+Education!G44+Events!G45+Communications!G44+Admin!G44)</f>
        <v>0</v>
      </c>
      <c r="H48" s="15">
        <f>SUM(Membership!H44+GA!H44+Education!H44+Events!H45+Communications!H44+Admin!H44)</f>
        <v>0</v>
      </c>
      <c r="I48" s="15">
        <f>SUM(Membership!I44+GA!I44+Education!I44+Events!I45+Communications!I44+Admin!I44)</f>
        <v>0</v>
      </c>
      <c r="J48" s="15">
        <f>SUM(Membership!J44+GA!J44+Education!J44+Events!J45+Communications!J44+Admin!J44)</f>
        <v>0</v>
      </c>
      <c r="K48" s="15">
        <f>SUM(Membership!K44+GA!K44+Education!K44+Events!K45+Communications!K44+Admin!K44)</f>
        <v>0</v>
      </c>
      <c r="L48" s="15">
        <f>SUM(Membership!L44+GA!L44+Education!L44+Events!L45+Communications!L44+Admin!L44)</f>
        <v>0</v>
      </c>
      <c r="M48" s="15">
        <f>SUM(Membership!M44+GA!M44+Education!M44+Events!M45+Communications!M44+Admin!M44)</f>
        <v>0</v>
      </c>
      <c r="N48" s="15">
        <f>SUM(Membership!N44+GA!N44+Education!N44+Events!N45+Communications!N44+Admin!N44)</f>
        <v>19500</v>
      </c>
      <c r="O48" s="46">
        <f>520</f>
        <v>520</v>
      </c>
      <c r="P48" s="46">
        <f>1690</f>
        <v>1690</v>
      </c>
      <c r="Q48" s="46">
        <f>N48-O48</f>
        <v>18980</v>
      </c>
      <c r="R48" s="125"/>
    </row>
    <row r="49" spans="1:18" ht="14.25" hidden="1" customHeight="1" x14ac:dyDescent="0.25">
      <c r="A49" s="16" t="s">
        <v>68</v>
      </c>
      <c r="B49" s="15">
        <f>SUM(Membership!B45+GA!B45+Education!B45+Events!B46+Communications!B45+Admin!B45)</f>
        <v>50</v>
      </c>
      <c r="C49" s="15">
        <f>SUM(Membership!C45+GA!C45+Education!C45+Events!C46+Communications!C45+Admin!C45)</f>
        <v>700</v>
      </c>
      <c r="D49" s="15">
        <f>SUM(Membership!D45+GA!D45+Education!D45+Events!D46+Communications!D45+Admin!D45)</f>
        <v>800</v>
      </c>
      <c r="E49" s="15">
        <f>SUM(Membership!E45+GA!E45+Education!E45+Events!E46+Communications!E45+Admin!E45)</f>
        <v>700</v>
      </c>
      <c r="F49" s="15">
        <f>SUM(Membership!F45+GA!F45+Education!F45+Events!F46+Communications!F45+Admin!F45)</f>
        <v>600</v>
      </c>
      <c r="G49" s="15">
        <f>SUM(Membership!G45+GA!G45+Education!G45+Events!G46+Communications!G45+Admin!G45)</f>
        <v>450</v>
      </c>
      <c r="H49" s="15">
        <f>SUM(Membership!H45+GA!H45+Education!H45+Events!H46+Communications!H45+Admin!H45)</f>
        <v>450</v>
      </c>
      <c r="I49" s="15">
        <f>SUM(Membership!I45+GA!I45+Education!I45+Events!I46+Communications!I45+Admin!I45)</f>
        <v>450</v>
      </c>
      <c r="J49" s="15">
        <f>SUM(Membership!J45+GA!J45+Education!J45+Events!J46+Communications!J45+Admin!J45)</f>
        <v>450</v>
      </c>
      <c r="K49" s="15">
        <f>SUM(Membership!K45+GA!K45+Education!K45+Events!K46+Communications!K45+Admin!K45)</f>
        <v>450</v>
      </c>
      <c r="L49" s="15">
        <f>SUM(Membership!L45+GA!L45+Education!L45+Events!L46+Communications!L45+Admin!L45)</f>
        <v>450</v>
      </c>
      <c r="M49" s="15">
        <f>SUM(Membership!M45+GA!M45+Education!M45+Events!M46+Communications!M45+Admin!M45)</f>
        <v>450</v>
      </c>
      <c r="N49" s="15">
        <f>SUM(B49:M49)</f>
        <v>6000</v>
      </c>
      <c r="O49" s="46">
        <f>4370.22</f>
        <v>4370.22</v>
      </c>
      <c r="P49" s="46">
        <f>8000.04</f>
        <v>8000.04</v>
      </c>
      <c r="Q49" s="46">
        <f>N49-O49</f>
        <v>1629.7799999999997</v>
      </c>
      <c r="R49" s="125"/>
    </row>
    <row r="50" spans="1:18" ht="14.25" hidden="1" customHeight="1" x14ac:dyDescent="0.25">
      <c r="A50" s="16" t="s">
        <v>69</v>
      </c>
      <c r="B50" s="15">
        <f>SUM(Membership!B46+GA!B46+Education!B46+Events!B47+Communications!B46+Admin!B46)</f>
        <v>0</v>
      </c>
      <c r="C50" s="15">
        <f>SUM(Membership!C46+GA!C46+Education!C46+Events!C47+Communications!C46+Admin!C46)</f>
        <v>0</v>
      </c>
      <c r="D50" s="15">
        <f>SUM(Membership!D46+GA!D46+Education!D46+Events!D47+Communications!D46+Admin!D46)</f>
        <v>0</v>
      </c>
      <c r="E50" s="15">
        <f>SUM(Membership!E46+GA!E46+Education!E46+Events!E47+Communications!E46+Admin!E46)</f>
        <v>0</v>
      </c>
      <c r="F50" s="15">
        <f>SUM(Membership!F46+GA!F46+Education!F46+Events!F47+Communications!F46+Admin!F46)</f>
        <v>0</v>
      </c>
      <c r="G50" s="15">
        <f>SUM(Membership!G46+GA!G46+Education!G46+Events!G47+Communications!G46+Admin!G46)</f>
        <v>0</v>
      </c>
      <c r="H50" s="15">
        <f>SUM(Membership!H46+GA!H46+Education!H46+Events!H47+Communications!H46+Admin!H46)</f>
        <v>0</v>
      </c>
      <c r="I50" s="15">
        <f>SUM(Membership!I46+GA!I46+Education!I46+Events!I47+Communications!I46+Admin!I46)</f>
        <v>0</v>
      </c>
      <c r="J50" s="15">
        <f>SUM(Membership!J46+GA!J46+Education!J46+Events!J47+Communications!J46+Admin!J46)</f>
        <v>0</v>
      </c>
      <c r="K50" s="15">
        <f>SUM(Membership!K46+GA!K46+Education!K46+Events!K47+Communications!K46+Admin!K46)</f>
        <v>0</v>
      </c>
      <c r="L50" s="15">
        <f>SUM(Membership!L46+GA!L46+Education!L46+Events!L47+Communications!L46+Admin!L46)</f>
        <v>0</v>
      </c>
      <c r="M50" s="15">
        <f>SUM(Membership!M46+GA!M46+Education!M46+Events!M47+Communications!M46+Admin!M46)</f>
        <v>0</v>
      </c>
      <c r="N50" s="15">
        <f>SUM(Membership!N46+GA!N46+Education!N46+Events!N47+Communications!N46+Admin!N46)</f>
        <v>0</v>
      </c>
      <c r="O50" s="46"/>
      <c r="P50" s="46"/>
      <c r="Q50" s="46"/>
      <c r="R50" s="125"/>
    </row>
    <row r="51" spans="1:18" ht="14.25" hidden="1" customHeight="1" x14ac:dyDescent="0.25">
      <c r="A51" s="16" t="s">
        <v>70</v>
      </c>
      <c r="B51" s="15">
        <f>SUM(Membership!B47+GA!B47+Education!B47+Events!B48+Communications!B47+Admin!B47)</f>
        <v>0</v>
      </c>
      <c r="C51" s="15">
        <f>SUM(Membership!C47+GA!C47+Education!C47+Events!C48+Communications!C47+Admin!C47)</f>
        <v>0</v>
      </c>
      <c r="D51" s="15">
        <f>SUM(Membership!D47+GA!D47+Education!D47+Events!D48+Communications!D47+Admin!D47)</f>
        <v>0</v>
      </c>
      <c r="E51" s="15">
        <f>SUM(Membership!E47+GA!E47+Education!E47+Events!E48+Communications!E47+Admin!E47)</f>
        <v>0</v>
      </c>
      <c r="F51" s="15">
        <f>SUM(Membership!F47+GA!F47+Education!F47+Events!F48+Communications!F47+Admin!F47)</f>
        <v>0</v>
      </c>
      <c r="G51" s="15">
        <f>SUM(Membership!G47+GA!G47+Education!G47+Events!G48+Communications!G47+Admin!G47)</f>
        <v>0</v>
      </c>
      <c r="H51" s="15">
        <f>SUM(Membership!H47+GA!H47+Education!H47+Events!H48+Communications!H47+Admin!H47)</f>
        <v>0</v>
      </c>
      <c r="I51" s="15">
        <f>SUM(Membership!I47+GA!I47+Education!I47+Events!I48+Communications!I47+Admin!I47)</f>
        <v>0</v>
      </c>
      <c r="J51" s="15">
        <f>SUM(Membership!J47+GA!J47+Education!J47+Events!J48+Communications!J47+Admin!J47)</f>
        <v>0</v>
      </c>
      <c r="K51" s="15">
        <f>SUM(Membership!K47+GA!K47+Education!K47+Events!K48+Communications!K47+Admin!K47)</f>
        <v>0</v>
      </c>
      <c r="L51" s="15">
        <f>SUM(Membership!L47+GA!L47+Education!L47+Events!L48+Communications!L47+Admin!L47)</f>
        <v>0</v>
      </c>
      <c r="M51" s="15">
        <f>SUM(Membership!M47+GA!M47+Education!M47+Events!M48+Communications!M47+Admin!M47)</f>
        <v>0</v>
      </c>
      <c r="N51" s="15">
        <f>SUM(Membership!N47+GA!N47+Education!N47+Events!N48+Communications!N47+Admin!N47)</f>
        <v>0</v>
      </c>
      <c r="O51" s="46"/>
      <c r="P51" s="46"/>
      <c r="Q51" s="46"/>
      <c r="R51" s="125"/>
    </row>
    <row r="52" spans="1:18" ht="14.25" hidden="1" customHeight="1" x14ac:dyDescent="0.25">
      <c r="A52" s="16" t="s">
        <v>71</v>
      </c>
      <c r="B52" s="15">
        <f>SUM(Membership!B48+GA!B48+Education!B48+Events!B49+Communications!B48+Admin!B48)</f>
        <v>0</v>
      </c>
      <c r="C52" s="15">
        <f>SUM(Membership!C48+GA!C48+Education!C48+Events!C49+Communications!C48+Admin!C48)</f>
        <v>0</v>
      </c>
      <c r="D52" s="15">
        <f>SUM(Membership!D48+GA!D48+Education!D48+Events!D49+Communications!D48+Admin!D48)</f>
        <v>0</v>
      </c>
      <c r="E52" s="15">
        <f>SUM(Membership!E48+GA!E48+Education!E48+Events!E49+Communications!E48+Admin!E48)</f>
        <v>0</v>
      </c>
      <c r="F52" s="15">
        <f>SUM(Membership!F48+GA!F48+Education!F48+Events!F49+Communications!F48+Admin!F48)</f>
        <v>0</v>
      </c>
      <c r="G52" s="15">
        <f>SUM(Membership!G48+GA!G48+Education!G48+Events!G49+Communications!G48+Admin!G48)</f>
        <v>0</v>
      </c>
      <c r="H52" s="15">
        <f>SUM(Membership!H48+GA!H48+Education!H48+Events!H49+Communications!H48+Admin!H48)</f>
        <v>0</v>
      </c>
      <c r="I52" s="15">
        <f>SUM(Membership!I48+GA!I48+Education!I48+Events!I49+Communications!I48+Admin!I48)</f>
        <v>0</v>
      </c>
      <c r="J52" s="15">
        <f>SUM(Membership!J48+GA!J48+Education!J48+Events!J49+Communications!J48+Admin!J48)</f>
        <v>0</v>
      </c>
      <c r="K52" s="15">
        <f>SUM(Membership!K48+GA!K48+Education!K48+Events!K49+Communications!K48+Admin!K48)</f>
        <v>0</v>
      </c>
      <c r="L52" s="15">
        <f>SUM(Membership!L48+GA!L48+Education!L48+Events!L49+Communications!L48+Admin!L48)</f>
        <v>0</v>
      </c>
      <c r="M52" s="15">
        <f>SUM(Membership!M48+GA!M48+Education!M48+Events!M49+Communications!M48+Admin!M48)</f>
        <v>0</v>
      </c>
      <c r="N52" s="15">
        <f>SUM(Membership!N48+GA!N48+Education!N48+Events!N49+Communications!N48+Admin!N48)</f>
        <v>0</v>
      </c>
      <c r="O52" s="46"/>
      <c r="P52" s="46"/>
      <c r="Q52" s="46"/>
      <c r="R52" s="125"/>
    </row>
    <row r="53" spans="1:18" ht="14.25" hidden="1" customHeight="1" x14ac:dyDescent="0.25">
      <c r="A53" s="16" t="s">
        <v>72</v>
      </c>
      <c r="B53" s="15">
        <f>SUM(Membership!B49+GA!B49+Education!B49+Events!B50+Communications!B49+Admin!B49)</f>
        <v>0</v>
      </c>
      <c r="C53" s="15">
        <f>SUM(Membership!C49+GA!C49+Education!C49+Events!C50+Communications!C49+Admin!C49)</f>
        <v>0</v>
      </c>
      <c r="D53" s="15">
        <f>SUM(Membership!D49+GA!D49+Education!D49+Events!D50+Communications!D49+Admin!D49)</f>
        <v>0</v>
      </c>
      <c r="E53" s="15">
        <f>SUM(Membership!E49+GA!E49+Education!E49+Events!E50+Communications!E49+Admin!E49)</f>
        <v>0</v>
      </c>
      <c r="F53" s="15">
        <f>SUM(Membership!F49+GA!F49+Education!F49+Events!F50+Communications!F49+Admin!F49)</f>
        <v>0</v>
      </c>
      <c r="G53" s="15">
        <f>SUM(Membership!G49+GA!G49+Education!G49+Events!G50+Communications!G49+Admin!G49)</f>
        <v>0</v>
      </c>
      <c r="H53" s="15">
        <f>SUM(Membership!H49+GA!H49+Education!H49+Events!H50+Communications!H49+Admin!H49)</f>
        <v>0</v>
      </c>
      <c r="I53" s="15">
        <f>SUM(Membership!I49+GA!I49+Education!I49+Events!I50+Communications!I49+Admin!I49)</f>
        <v>0</v>
      </c>
      <c r="J53" s="15">
        <f>SUM(Membership!J49+GA!J49+Education!J49+Events!J50+Communications!J49+Admin!J49)</f>
        <v>0</v>
      </c>
      <c r="K53" s="15">
        <f>SUM(Membership!K49+GA!K49+Education!K49+Events!K50+Communications!K49+Admin!K49)</f>
        <v>0</v>
      </c>
      <c r="L53" s="15">
        <f>SUM(Membership!L49+GA!L49+Education!L49+Events!L50+Communications!L49+Admin!L49)</f>
        <v>0</v>
      </c>
      <c r="M53" s="15">
        <f>SUM(Membership!M49+GA!M49+Education!M49+Events!M50+Communications!M49+Admin!M49)</f>
        <v>0</v>
      </c>
      <c r="N53" s="15">
        <f>SUM(Membership!N49+GA!N49+Education!N49+Events!N50+Communications!N49+Admin!N49)</f>
        <v>0</v>
      </c>
      <c r="O53" s="46"/>
      <c r="P53" s="46"/>
      <c r="Q53" s="46"/>
      <c r="R53" s="125"/>
    </row>
    <row r="54" spans="1:18" s="39" customFormat="1" ht="14.25" hidden="1" customHeight="1" x14ac:dyDescent="0.25">
      <c r="A54" s="30" t="s">
        <v>169</v>
      </c>
      <c r="B54" s="31">
        <f>SUM(B47:B53)</f>
        <v>80</v>
      </c>
      <c r="C54" s="31">
        <f t="shared" ref="C54:M54" si="9">SUM(C47:C53)</f>
        <v>720</v>
      </c>
      <c r="D54" s="31">
        <f t="shared" si="9"/>
        <v>7375</v>
      </c>
      <c r="E54" s="31">
        <f t="shared" si="9"/>
        <v>7245</v>
      </c>
      <c r="F54" s="31">
        <f t="shared" si="9"/>
        <v>7160</v>
      </c>
      <c r="G54" s="31">
        <f t="shared" si="9"/>
        <v>540</v>
      </c>
      <c r="H54" s="31">
        <f t="shared" si="9"/>
        <v>525</v>
      </c>
      <c r="I54" s="31">
        <f t="shared" si="9"/>
        <v>465</v>
      </c>
      <c r="J54" s="31">
        <f t="shared" si="9"/>
        <v>495</v>
      </c>
      <c r="K54" s="31">
        <f t="shared" si="9"/>
        <v>470</v>
      </c>
      <c r="L54" s="31">
        <f t="shared" si="9"/>
        <v>465</v>
      </c>
      <c r="M54" s="31">
        <f t="shared" si="9"/>
        <v>470</v>
      </c>
      <c r="N54" s="31">
        <f>SUM(B54:M54)</f>
        <v>26010</v>
      </c>
      <c r="O54" s="48">
        <f>SUM(O47:O53)</f>
        <v>5414.96</v>
      </c>
      <c r="P54" s="48">
        <f t="shared" ref="P54:Q54" si="10">SUM(P47:P53)</f>
        <v>10690</v>
      </c>
      <c r="Q54" s="48">
        <f t="shared" si="10"/>
        <v>20595.039999999997</v>
      </c>
      <c r="R54" s="48"/>
    </row>
    <row r="55" spans="1:18" s="39" customFormat="1" ht="14.25" hidden="1" customHeight="1" x14ac:dyDescent="0.25">
      <c r="A55" s="30" t="s">
        <v>170</v>
      </c>
      <c r="B55" s="31">
        <f>B9+B20+B27+B44+B54</f>
        <v>186915.32</v>
      </c>
      <c r="C55" s="31">
        <f t="shared" ref="C55:M55" si="11">C9+C20+C27+C44+C54</f>
        <v>188356.44</v>
      </c>
      <c r="D55" s="31">
        <f t="shared" si="11"/>
        <v>141839.57484000002</v>
      </c>
      <c r="E55" s="31">
        <f t="shared" si="11"/>
        <v>166919.71805999998</v>
      </c>
      <c r="F55" s="31">
        <f t="shared" si="11"/>
        <v>207238.74677</v>
      </c>
      <c r="G55" s="31">
        <f t="shared" si="11"/>
        <v>159664.06419</v>
      </c>
      <c r="H55" s="31">
        <f t="shared" si="11"/>
        <v>131221.51199999999</v>
      </c>
      <c r="I55" s="31">
        <f t="shared" si="11"/>
        <v>102596.43194000001</v>
      </c>
      <c r="J55" s="31">
        <f t="shared" si="11"/>
        <v>252096.33452</v>
      </c>
      <c r="K55" s="31">
        <f t="shared" si="11"/>
        <v>169546.05</v>
      </c>
      <c r="L55" s="31">
        <f t="shared" si="11"/>
        <v>132412.95968</v>
      </c>
      <c r="M55" s="31">
        <f t="shared" si="11"/>
        <v>122754.2929</v>
      </c>
      <c r="N55" s="31">
        <f>SUM(B55:M55)</f>
        <v>1961561.4449000002</v>
      </c>
      <c r="O55" s="48"/>
      <c r="P55" s="48"/>
      <c r="Q55" s="48"/>
      <c r="R55" s="48"/>
    </row>
    <row r="56" spans="1:18" s="38" customFormat="1" ht="14.25" hidden="1" customHeight="1" x14ac:dyDescent="0.25">
      <c r="A56" s="35" t="s">
        <v>73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50"/>
      <c r="P56" s="50"/>
      <c r="Q56" s="50"/>
      <c r="R56" s="50"/>
    </row>
    <row r="57" spans="1:18" ht="14.25" hidden="1" customHeight="1" x14ac:dyDescent="0.25">
      <c r="A57" s="16" t="s">
        <v>74</v>
      </c>
      <c r="B57" s="15">
        <f>SUM(Membership!B51+GA!B51+Education!B51+Events!B52+Communications!B51+Admin!B51)</f>
        <v>0</v>
      </c>
      <c r="C57" s="15">
        <f>SUM(Membership!C51+GA!C51+Education!C51+Events!C52+Communications!C51+Admin!C51)</f>
        <v>0</v>
      </c>
      <c r="D57" s="15">
        <f>SUM(Membership!D51+GA!D51+Education!D51+Events!D52+Communications!D51+Admin!D51)</f>
        <v>4000</v>
      </c>
      <c r="E57" s="15">
        <f>SUM(Membership!E51+GA!E51+Education!E51+Events!E52+Communications!E51+Admin!E51)</f>
        <v>4000</v>
      </c>
      <c r="F57" s="15">
        <f>SUM(Membership!F51+GA!F51+Education!F51+Events!F52+Communications!F51+Admin!F51)</f>
        <v>4000</v>
      </c>
      <c r="G57" s="15">
        <f>SUM(Membership!G51+GA!G51+Education!G51+Events!G52+Communications!G51+Admin!G51)</f>
        <v>0</v>
      </c>
      <c r="H57" s="15">
        <f>SUM(Membership!H51+GA!H51+Education!H51+Events!H52+Communications!H51+Admin!H51)</f>
        <v>0</v>
      </c>
      <c r="I57" s="15">
        <f>SUM(Membership!I51+GA!I51+Education!I51+Events!I52+Communications!I51+Admin!I51)</f>
        <v>0</v>
      </c>
      <c r="J57" s="15">
        <f>SUM(Membership!J51+GA!J51+Education!J51+Events!J52+Communications!J51+Admin!J51)</f>
        <v>0</v>
      </c>
      <c r="K57" s="15">
        <f>SUM(Membership!K51+GA!K51+Education!K51+Events!K52+Communications!K51+Admin!K51)</f>
        <v>0</v>
      </c>
      <c r="L57" s="15">
        <f>SUM(Membership!L51+GA!L51+Education!L51+Events!L52+Communications!L51+Admin!L51)</f>
        <v>0</v>
      </c>
      <c r="M57" s="15">
        <f>SUM(Membership!M51+GA!M51+Education!M51+Events!M52+Communications!M51+Admin!M51)</f>
        <v>0</v>
      </c>
      <c r="N57" s="15">
        <f>SUM(Membership!N51+GA!N51+Education!N51+Events!N52+Communications!N51+Admin!N51)</f>
        <v>12000</v>
      </c>
      <c r="O57" s="46">
        <f>320</f>
        <v>320</v>
      </c>
      <c r="P57" s="46">
        <f>1040</f>
        <v>1040</v>
      </c>
      <c r="Q57" s="46">
        <f>N57-O57</f>
        <v>11680</v>
      </c>
      <c r="R57" s="125"/>
    </row>
    <row r="58" spans="1:18" ht="14.25" hidden="1" customHeight="1" x14ac:dyDescent="0.25">
      <c r="A58" s="16" t="s">
        <v>75</v>
      </c>
      <c r="B58" s="15">
        <f>SUM(Membership!B52+GA!B52+Education!B52+Events!B53+Communications!B52+Admin!B52)</f>
        <v>0</v>
      </c>
      <c r="C58" s="15">
        <f>SUM(Membership!C52+GA!C52+Education!C52+Events!C53+Communications!C52+Admin!C52)</f>
        <v>0</v>
      </c>
      <c r="D58" s="15">
        <f>SUM(Membership!D52+GA!D52+Education!D52+Events!D53+Communications!D52+Admin!D52)</f>
        <v>0</v>
      </c>
      <c r="E58" s="15">
        <f>SUM(Membership!E52+GA!E52+Education!E52+Events!E53+Communications!E52+Admin!E52)</f>
        <v>0</v>
      </c>
      <c r="F58" s="15">
        <f>SUM(Membership!F52+GA!F52+Education!F52+Events!F53+Communications!F52+Admin!F52)</f>
        <v>0</v>
      </c>
      <c r="G58" s="15">
        <f>SUM(Membership!G52+GA!G52+Education!G52+Events!G53+Communications!G52+Admin!G52)</f>
        <v>0</v>
      </c>
      <c r="H58" s="15">
        <f>SUM(Membership!H52+GA!H52+Education!H52+Events!H53+Communications!H52+Admin!H52)</f>
        <v>0</v>
      </c>
      <c r="I58" s="15">
        <f>SUM(Membership!I52+GA!I52+Education!I52+Events!I53+Communications!I52+Admin!I52)</f>
        <v>0</v>
      </c>
      <c r="J58" s="15">
        <f>SUM(Membership!J52+GA!J52+Education!J52+Events!J53+Communications!J52+Admin!J52)</f>
        <v>0</v>
      </c>
      <c r="K58" s="15">
        <f>SUM(Membership!K52+GA!K52+Education!K52+Events!K53+Communications!K52+Admin!K52)</f>
        <v>0</v>
      </c>
      <c r="L58" s="15">
        <f>SUM(Membership!L52+GA!L52+Education!L52+Events!L53+Communications!L52+Admin!L52)</f>
        <v>0</v>
      </c>
      <c r="M58" s="15">
        <f>SUM(Membership!M52+GA!M52+Education!M52+Events!M53+Communications!M52+Admin!M52)</f>
        <v>0</v>
      </c>
      <c r="N58" s="15">
        <f>SUM(Membership!N52+GA!N52+Education!N52+Events!N53+Communications!N52+Admin!N52)</f>
        <v>0</v>
      </c>
      <c r="O58" s="46"/>
      <c r="P58" s="46"/>
      <c r="Q58" s="46"/>
      <c r="R58" s="125"/>
    </row>
    <row r="59" spans="1:18" s="39" customFormat="1" ht="14.25" hidden="1" customHeight="1" x14ac:dyDescent="0.25">
      <c r="A59" s="30" t="s">
        <v>166</v>
      </c>
      <c r="B59" s="31">
        <f>SUM(B57:B58)</f>
        <v>0</v>
      </c>
      <c r="C59" s="31">
        <f t="shared" ref="C59:N59" si="12">SUM(C57:C58)</f>
        <v>0</v>
      </c>
      <c r="D59" s="31">
        <f t="shared" si="12"/>
        <v>4000</v>
      </c>
      <c r="E59" s="31">
        <f t="shared" si="12"/>
        <v>4000</v>
      </c>
      <c r="F59" s="31">
        <f t="shared" si="12"/>
        <v>4000</v>
      </c>
      <c r="G59" s="31">
        <f t="shared" si="12"/>
        <v>0</v>
      </c>
      <c r="H59" s="31">
        <f t="shared" si="12"/>
        <v>0</v>
      </c>
      <c r="I59" s="31">
        <f t="shared" si="12"/>
        <v>0</v>
      </c>
      <c r="J59" s="31">
        <f t="shared" si="12"/>
        <v>0</v>
      </c>
      <c r="K59" s="31">
        <f t="shared" si="12"/>
        <v>0</v>
      </c>
      <c r="L59" s="31">
        <f t="shared" si="12"/>
        <v>0</v>
      </c>
      <c r="M59" s="31">
        <f t="shared" si="12"/>
        <v>0</v>
      </c>
      <c r="N59" s="31">
        <f t="shared" si="12"/>
        <v>12000</v>
      </c>
      <c r="O59" s="48">
        <f>SUM(O57:O58)</f>
        <v>320</v>
      </c>
      <c r="P59" s="48">
        <f t="shared" ref="P59:Q59" si="13">SUM(P57:P58)</f>
        <v>1040</v>
      </c>
      <c r="Q59" s="48">
        <f t="shared" si="13"/>
        <v>11680</v>
      </c>
      <c r="R59" s="48"/>
    </row>
    <row r="60" spans="1:18" s="39" customFormat="1" ht="14.25" hidden="1" customHeight="1" x14ac:dyDescent="0.25">
      <c r="A60" s="30" t="s">
        <v>167</v>
      </c>
      <c r="B60" s="31">
        <f>B55-B59</f>
        <v>186915.32</v>
      </c>
      <c r="C60" s="31">
        <f t="shared" ref="C60:M60" si="14">C55-C59</f>
        <v>188356.44</v>
      </c>
      <c r="D60" s="31">
        <f t="shared" si="14"/>
        <v>137839.57484000002</v>
      </c>
      <c r="E60" s="31">
        <f t="shared" si="14"/>
        <v>162919.71805999998</v>
      </c>
      <c r="F60" s="31">
        <f t="shared" si="14"/>
        <v>203238.74677</v>
      </c>
      <c r="G60" s="31">
        <f t="shared" si="14"/>
        <v>159664.06419</v>
      </c>
      <c r="H60" s="31">
        <f t="shared" si="14"/>
        <v>131221.51199999999</v>
      </c>
      <c r="I60" s="31">
        <f t="shared" si="14"/>
        <v>102596.43194000001</v>
      </c>
      <c r="J60" s="31">
        <f t="shared" si="14"/>
        <v>252096.33452</v>
      </c>
      <c r="K60" s="31">
        <f t="shared" si="14"/>
        <v>169546.05</v>
      </c>
      <c r="L60" s="31">
        <f t="shared" si="14"/>
        <v>132412.95968</v>
      </c>
      <c r="M60" s="31">
        <f t="shared" si="14"/>
        <v>122754.2929</v>
      </c>
      <c r="N60" s="31">
        <f>SUM(B60:M60)</f>
        <v>1949561.4449000002</v>
      </c>
      <c r="O60" s="48"/>
      <c r="P60" s="48"/>
      <c r="Q60" s="48"/>
      <c r="R60" s="48"/>
    </row>
    <row r="61" spans="1:18" s="34" customFormat="1" ht="14.25" hidden="1" customHeight="1" x14ac:dyDescent="0.25">
      <c r="A61" s="32" t="s">
        <v>76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O61" s="49"/>
      <c r="P61" s="49"/>
      <c r="Q61" s="49"/>
      <c r="R61" s="126"/>
    </row>
    <row r="62" spans="1:18" ht="14.25" hidden="1" customHeight="1" x14ac:dyDescent="0.25">
      <c r="A62" s="16" t="s">
        <v>77</v>
      </c>
      <c r="B62" s="15">
        <f>SUM(Membership!B54+GA!B54+Education!B54+Events!B55+Communications!B54+Admin!B54)</f>
        <v>0</v>
      </c>
      <c r="C62" s="15">
        <f>SUM(Membership!C54+GA!C54+Education!C54+Events!C55+Communications!C54+Admin!C54)</f>
        <v>0</v>
      </c>
      <c r="D62" s="15">
        <f>SUM(Membership!D54+GA!D54+Education!D54+Events!D55+Communications!D54+Admin!D54)</f>
        <v>0</v>
      </c>
      <c r="E62" s="15">
        <f>SUM(Membership!E54+GA!E54+Education!E54+Events!E55+Communications!E54+Admin!E54)</f>
        <v>0</v>
      </c>
      <c r="F62" s="15">
        <f>SUM(Membership!F54+GA!F54+Education!F54+Events!F55+Communications!F54+Admin!F54)</f>
        <v>0</v>
      </c>
      <c r="G62" s="15">
        <f>SUM(Membership!G54+GA!G54+Education!G54+Events!G55+Communications!G54+Admin!G54)</f>
        <v>0</v>
      </c>
      <c r="H62" s="15">
        <f>SUM(Membership!H54+GA!H54+Education!H54+Events!H55+Communications!H54+Admin!H54)</f>
        <v>0</v>
      </c>
      <c r="I62" s="15">
        <f>SUM(Membership!I54+GA!I54+Education!I54+Events!I55+Communications!I54+Admin!I54)</f>
        <v>0</v>
      </c>
      <c r="J62" s="15">
        <f>SUM(Membership!J54+GA!J54+Education!J54+Events!J55+Communications!J54+Admin!J54)</f>
        <v>0</v>
      </c>
      <c r="K62" s="15">
        <f>SUM(Membership!K54+GA!K54+Education!K54+Events!K55+Communications!K54+Admin!K54)</f>
        <v>0</v>
      </c>
      <c r="L62" s="15">
        <f>SUM(Membership!L54+GA!L54+Education!L54+Events!L55+Communications!L54+Admin!L54)</f>
        <v>0</v>
      </c>
      <c r="M62" s="15">
        <f>SUM(Membership!M54+GA!M54+Education!M54+Events!M55+Communications!M54+Admin!M54)</f>
        <v>0</v>
      </c>
      <c r="N62" s="15">
        <f>SUM(Membership!N54+GA!N54+Education!N54+Events!N55+Communications!N54+Admin!N54)</f>
        <v>0</v>
      </c>
      <c r="O62" s="46"/>
      <c r="P62" s="46"/>
      <c r="Q62" s="46"/>
      <c r="R62" s="125"/>
    </row>
    <row r="63" spans="1:18" ht="14.25" hidden="1" customHeight="1" x14ac:dyDescent="0.25">
      <c r="A63" s="16" t="s">
        <v>78</v>
      </c>
      <c r="B63" s="15">
        <f>SUM(Membership!B55+GA!B55+Education!B55+Events!B56+Communications!B55+Admin!B55)</f>
        <v>0</v>
      </c>
      <c r="C63" s="15">
        <f>SUM(Membership!C55+GA!C55+Education!C55+Events!C56+Communications!C55+Admin!C55)</f>
        <v>0</v>
      </c>
      <c r="D63" s="15">
        <f>SUM(Membership!D55+GA!D55+Education!D55+Events!D56+Communications!D55+Admin!D55)</f>
        <v>0</v>
      </c>
      <c r="E63" s="15">
        <f>SUM(Membership!E55+GA!E55+Education!E55+Events!E56+Communications!E55+Admin!E55)</f>
        <v>0</v>
      </c>
      <c r="F63" s="15">
        <f>SUM(Membership!F55+GA!F55+Education!F55+Events!F56+Communications!F55+Admin!F55)</f>
        <v>0</v>
      </c>
      <c r="G63" s="15">
        <f>SUM(Membership!G55+GA!G55+Education!G55+Events!G56+Communications!G55+Admin!G55)</f>
        <v>0</v>
      </c>
      <c r="H63" s="15">
        <f>SUM(Membership!H55+GA!H55+Education!H55+Events!H56+Communications!H55+Admin!H55)</f>
        <v>0</v>
      </c>
      <c r="I63" s="15">
        <f>SUM(Membership!I55+GA!I55+Education!I55+Events!I56+Communications!I55+Admin!I55)</f>
        <v>0</v>
      </c>
      <c r="J63" s="15">
        <f>SUM(Membership!J55+GA!J55+Education!J55+Events!J56+Communications!J55+Admin!J55)</f>
        <v>0</v>
      </c>
      <c r="K63" s="15">
        <f>SUM(Membership!K55+GA!K55+Education!K55+Events!K56+Communications!K55+Admin!K55)</f>
        <v>0</v>
      </c>
      <c r="L63" s="15">
        <f>SUM(Membership!L55+GA!L55+Education!L55+Events!L56+Communications!L55+Admin!L55)</f>
        <v>0</v>
      </c>
      <c r="M63" s="15">
        <f>SUM(Membership!M55+GA!M55+Education!M55+Events!M56+Communications!M55+Admin!M55)</f>
        <v>0</v>
      </c>
      <c r="N63" s="15">
        <f t="shared" ref="N63:N108" si="15">SUM(B63:M63)</f>
        <v>0</v>
      </c>
      <c r="O63" s="46"/>
      <c r="P63" s="46"/>
      <c r="Q63" s="46"/>
      <c r="R63" s="125"/>
    </row>
    <row r="64" spans="1:18" ht="14.25" hidden="1" customHeight="1" x14ac:dyDescent="0.25">
      <c r="A64" s="16" t="s">
        <v>79</v>
      </c>
      <c r="B64" s="15">
        <f>SUM(Membership!B56+GA!B56+Education!B56+Events!B57+Communications!B56+Admin!B56)</f>
        <v>0</v>
      </c>
      <c r="C64" s="15">
        <f>SUM(Membership!C56+GA!C56+Education!C56+Events!C57+Communications!C56+Admin!C56)</f>
        <v>0</v>
      </c>
      <c r="D64" s="15">
        <f>SUM(Membership!D56+GA!D56+Education!D56+Events!D57+Communications!D56+Admin!D56)</f>
        <v>0</v>
      </c>
      <c r="E64" s="15">
        <f>SUM(Membership!E56+GA!E56+Education!E56+Events!E57+Communications!E56+Admin!E56)</f>
        <v>0</v>
      </c>
      <c r="F64" s="15">
        <f>SUM(Membership!F56+GA!F56+Education!F56+Events!F57+Communications!F56+Admin!F56)</f>
        <v>0</v>
      </c>
      <c r="G64" s="15">
        <f>SUM(Membership!G56+GA!G56+Education!G56+Events!G57+Communications!G56+Admin!G56)</f>
        <v>0</v>
      </c>
      <c r="H64" s="15">
        <f>SUM(Membership!H56+GA!H56+Education!H56+Events!H57+Communications!H56+Admin!H56)</f>
        <v>0</v>
      </c>
      <c r="I64" s="15">
        <f>SUM(Membership!I56+GA!I56+Education!I56+Events!I57+Communications!I56+Admin!I56)</f>
        <v>0</v>
      </c>
      <c r="J64" s="15">
        <f>SUM(Membership!J56+GA!J56+Education!J56+Events!J57+Communications!J56+Admin!J56)</f>
        <v>0</v>
      </c>
      <c r="K64" s="15">
        <f>SUM(Membership!K56+GA!K56+Education!K56+Events!K57+Communications!K56+Admin!K56)</f>
        <v>0</v>
      </c>
      <c r="L64" s="15">
        <f>SUM(Membership!L56+GA!L56+Education!L56+Events!L57+Communications!L56+Admin!L56)</f>
        <v>0</v>
      </c>
      <c r="M64" s="15">
        <f>SUM(Membership!M56+GA!M56+Education!M56+Events!M57+Communications!M56+Admin!M56)</f>
        <v>0</v>
      </c>
      <c r="N64" s="15">
        <f t="shared" si="15"/>
        <v>0</v>
      </c>
      <c r="O64" s="46"/>
      <c r="P64" s="46"/>
      <c r="Q64" s="46"/>
      <c r="R64" s="125"/>
    </row>
    <row r="65" spans="1:18" ht="14.25" hidden="1" customHeight="1" x14ac:dyDescent="0.25">
      <c r="A65" s="16" t="s">
        <v>80</v>
      </c>
      <c r="B65" s="15">
        <f>SUM(Membership!B57+GA!B57+Education!B57+Events!B58+Communications!B57+Admin!B57)</f>
        <v>0</v>
      </c>
      <c r="C65" s="15">
        <f>SUM(Membership!C57+GA!C57+Education!C57+Events!C58+Communications!C57+Admin!C57)</f>
        <v>0</v>
      </c>
      <c r="D65" s="15">
        <f>SUM(Membership!D57+GA!D57+Education!D57+Events!D58+Communications!D57+Admin!D57)</f>
        <v>0</v>
      </c>
      <c r="E65" s="15">
        <f>SUM(Membership!E57+GA!E57+Education!E57+Events!E58+Communications!E57+Admin!E57)</f>
        <v>0</v>
      </c>
      <c r="F65" s="15">
        <f>SUM(Membership!F57+GA!F57+Education!F57+Events!F58+Communications!F57+Admin!F57)</f>
        <v>0</v>
      </c>
      <c r="G65" s="15">
        <f>SUM(Membership!G57+GA!G57+Education!G57+Events!G58+Communications!G57+Admin!G57)</f>
        <v>0</v>
      </c>
      <c r="H65" s="15">
        <f>SUM(Membership!H57+GA!H57+Education!H57+Events!H58+Communications!H57+Admin!H57)</f>
        <v>0</v>
      </c>
      <c r="I65" s="15">
        <f>SUM(Membership!I57+GA!I57+Education!I57+Events!I58+Communications!I57+Admin!I57)</f>
        <v>0</v>
      </c>
      <c r="J65" s="15">
        <f>SUM(Membership!J57+GA!J57+Education!J57+Events!J58+Communications!J57+Admin!J57)</f>
        <v>0</v>
      </c>
      <c r="K65" s="15">
        <f>SUM(Membership!K57+GA!K57+Education!K57+Events!K58+Communications!K57+Admin!K57)</f>
        <v>0</v>
      </c>
      <c r="L65" s="15">
        <f>SUM(Membership!L57+GA!L57+Education!L57+Events!L58+Communications!L57+Admin!L57)</f>
        <v>0</v>
      </c>
      <c r="M65" s="15">
        <f>SUM(Membership!M57+GA!M57+Education!M57+Events!M58+Communications!M57+Admin!M57)</f>
        <v>0</v>
      </c>
      <c r="N65" s="15">
        <f t="shared" si="15"/>
        <v>0</v>
      </c>
      <c r="O65" s="46"/>
      <c r="P65" s="46"/>
      <c r="Q65" s="46"/>
      <c r="R65" s="125"/>
    </row>
    <row r="66" spans="1:18" ht="14.25" hidden="1" customHeight="1" x14ac:dyDescent="0.25">
      <c r="A66" s="16" t="s">
        <v>81</v>
      </c>
      <c r="B66" s="15">
        <f>SUM(Membership!B58+GA!B58+Education!B58+Events!B59+Communications!B58+Admin!B58)</f>
        <v>0</v>
      </c>
      <c r="C66" s="15">
        <f>SUM(Membership!C58+GA!C58+Education!C58+Events!C59+Communications!C58+Admin!C58)</f>
        <v>0</v>
      </c>
      <c r="D66" s="15">
        <f>SUM(Membership!D58+GA!D58+Education!D58+Events!D59+Communications!D58+Admin!D58)</f>
        <v>0</v>
      </c>
      <c r="E66" s="15">
        <f>SUM(Membership!E58+GA!E58+Education!E58+Events!E59+Communications!E58+Admin!E58)</f>
        <v>0</v>
      </c>
      <c r="F66" s="15">
        <f>SUM(Membership!F58+GA!F58+Education!F58+Events!F59+Communications!F58+Admin!F58)</f>
        <v>0</v>
      </c>
      <c r="G66" s="15">
        <f>SUM(Membership!G58+GA!G58+Education!G58+Events!G59+Communications!G58+Admin!G58)</f>
        <v>0</v>
      </c>
      <c r="H66" s="15">
        <f>SUM(Membership!H58+GA!H58+Education!H58+Events!H59+Communications!H58+Admin!H58)</f>
        <v>0</v>
      </c>
      <c r="I66" s="15">
        <f>SUM(Membership!I58+GA!I58+Education!I58+Events!I59+Communications!I58+Admin!I58)</f>
        <v>0</v>
      </c>
      <c r="J66" s="15">
        <f>SUM(Membership!J58+GA!J58+Education!J58+Events!J59+Communications!J58+Admin!J58)</f>
        <v>0</v>
      </c>
      <c r="K66" s="15">
        <f>SUM(Membership!K58+GA!K58+Education!K58+Events!K59+Communications!K58+Admin!K58)</f>
        <v>0</v>
      </c>
      <c r="L66" s="15">
        <f>SUM(Membership!L58+GA!L58+Education!L58+Events!L59+Communications!L58+Admin!L58)</f>
        <v>0</v>
      </c>
      <c r="M66" s="15">
        <f>SUM(Membership!M58+GA!M58+Education!M58+Events!M59+Communications!M58+Admin!M58)</f>
        <v>0</v>
      </c>
      <c r="N66" s="15">
        <f t="shared" si="15"/>
        <v>0</v>
      </c>
      <c r="O66" s="46"/>
      <c r="P66" s="46"/>
      <c r="Q66" s="46"/>
      <c r="R66" s="125"/>
    </row>
    <row r="67" spans="1:18" ht="14.25" hidden="1" customHeight="1" x14ac:dyDescent="0.25">
      <c r="A67" s="16" t="s">
        <v>82</v>
      </c>
      <c r="B67" s="15">
        <f>SUM(Membership!B59+GA!B59+Education!B59+Events!B60+Communications!B59+Admin!B59)</f>
        <v>0</v>
      </c>
      <c r="C67" s="15">
        <f>SUM(Membership!C59+GA!C59+Education!C59+Events!C60+Communications!C59+Admin!C59)</f>
        <v>0</v>
      </c>
      <c r="D67" s="15">
        <f>SUM(Membership!D59+GA!D59+Education!D59+Events!D60+Communications!D59+Admin!D59)</f>
        <v>0</v>
      </c>
      <c r="E67" s="15">
        <f>SUM(Membership!E59+GA!E59+Education!E59+Events!E60+Communications!E59+Admin!E59)</f>
        <v>0</v>
      </c>
      <c r="F67" s="15">
        <f>SUM(Membership!F59+GA!F59+Education!F59+Events!F60+Communications!F59+Admin!F59)</f>
        <v>0</v>
      </c>
      <c r="G67" s="15">
        <f>SUM(Membership!G59+GA!G59+Education!G59+Events!G60+Communications!G59+Admin!G59)</f>
        <v>0</v>
      </c>
      <c r="H67" s="15">
        <f>SUM(Membership!H59+GA!H59+Education!H59+Events!H60+Communications!H59+Admin!H59)</f>
        <v>0</v>
      </c>
      <c r="I67" s="15">
        <f>SUM(Membership!I59+GA!I59+Education!I59+Events!I60+Communications!I59+Admin!I59)</f>
        <v>0</v>
      </c>
      <c r="J67" s="15">
        <f>SUM(Membership!J59+GA!J59+Education!J59+Events!J60+Communications!J59+Admin!J59)</f>
        <v>0</v>
      </c>
      <c r="K67" s="15">
        <f>SUM(Membership!K59+GA!K59+Education!K59+Events!K60+Communications!K59+Admin!K59)</f>
        <v>0</v>
      </c>
      <c r="L67" s="15">
        <f>SUM(Membership!L59+GA!L59+Education!L59+Events!L60+Communications!L59+Admin!L59)</f>
        <v>0</v>
      </c>
      <c r="M67" s="15">
        <f>SUM(Membership!M59+GA!M59+Education!M59+Events!M60+Communications!M59+Admin!M59)</f>
        <v>0</v>
      </c>
      <c r="N67" s="15">
        <f t="shared" si="15"/>
        <v>0</v>
      </c>
      <c r="O67" s="46"/>
      <c r="P67" s="46"/>
      <c r="Q67" s="46"/>
      <c r="R67" s="125"/>
    </row>
    <row r="68" spans="1:18" ht="14.25" hidden="1" customHeight="1" x14ac:dyDescent="0.25">
      <c r="A68" s="16" t="s">
        <v>83</v>
      </c>
      <c r="B68" s="15">
        <f>SUM(Membership!B60+GA!B60+Education!B60+Events!B61+Communications!B60+Admin!B60)</f>
        <v>0</v>
      </c>
      <c r="C68" s="15">
        <f>SUM(Membership!C60+GA!C60+Education!C60+Events!C61+Communications!C60+Admin!C60)</f>
        <v>0</v>
      </c>
      <c r="D68" s="15">
        <f>SUM(Membership!D60+GA!D60+Education!D60+Events!D61+Communications!D60+Admin!D60)</f>
        <v>0</v>
      </c>
      <c r="E68" s="15">
        <f>SUM(Membership!E60+GA!E60+Education!E60+Events!E61+Communications!E60+Admin!E60)</f>
        <v>0</v>
      </c>
      <c r="F68" s="15">
        <f>SUM(Membership!F60+GA!F60+Education!F60+Events!F61+Communications!F60+Admin!F60)</f>
        <v>0</v>
      </c>
      <c r="G68" s="15">
        <f>SUM(Membership!G60+GA!G60+Education!G60+Events!G61+Communications!G60+Admin!G60)</f>
        <v>0</v>
      </c>
      <c r="H68" s="15">
        <f>SUM(Membership!H60+GA!H60+Education!H60+Events!H61+Communications!H60+Admin!H60)</f>
        <v>0</v>
      </c>
      <c r="I68" s="15">
        <f>SUM(Membership!I60+GA!I60+Education!I60+Events!I61+Communications!I60+Admin!I60)</f>
        <v>0</v>
      </c>
      <c r="J68" s="15">
        <f>SUM(Membership!J60+GA!J60+Education!J60+Events!J61+Communications!J60+Admin!J60)</f>
        <v>0</v>
      </c>
      <c r="K68" s="15">
        <f>SUM(Membership!K60+GA!K60+Education!K60+Events!K61+Communications!K60+Admin!K60)</f>
        <v>0</v>
      </c>
      <c r="L68" s="15">
        <f>SUM(Membership!L60+GA!L60+Education!L60+Events!L61+Communications!L60+Admin!L60)</f>
        <v>0</v>
      </c>
      <c r="M68" s="15">
        <f>SUM(Membership!M60+GA!M60+Education!M60+Events!M61+Communications!M60+Admin!M60)</f>
        <v>0</v>
      </c>
      <c r="N68" s="15">
        <f t="shared" si="15"/>
        <v>0</v>
      </c>
      <c r="O68" s="46"/>
      <c r="P68" s="46"/>
      <c r="Q68" s="46"/>
      <c r="R68" s="125"/>
    </row>
    <row r="69" spans="1:18" ht="14.25" hidden="1" customHeight="1" x14ac:dyDescent="0.25">
      <c r="A69" s="16" t="s">
        <v>84</v>
      </c>
      <c r="B69" s="15">
        <f>SUM(Membership!B61+GA!B61+Education!B61+Events!B62+Communications!B61+Admin!B61)</f>
        <v>0</v>
      </c>
      <c r="C69" s="15">
        <f>SUM(Membership!C61+GA!C61+Education!C61+Events!C62+Communications!C61+Admin!C61)</f>
        <v>0</v>
      </c>
      <c r="D69" s="15">
        <f>SUM(Membership!D61+GA!D61+Education!D61+Events!D62+Communications!D61+Admin!D61)</f>
        <v>0</v>
      </c>
      <c r="E69" s="15">
        <f>SUM(Membership!E61+GA!E61+Education!E61+Events!E62+Communications!E61+Admin!E61)</f>
        <v>0</v>
      </c>
      <c r="F69" s="15">
        <f>SUM(Membership!F61+GA!F61+Education!F61+Events!F62+Communications!F61+Admin!F61)</f>
        <v>0</v>
      </c>
      <c r="G69" s="15">
        <f>SUM(Membership!G61+GA!G61+Education!G61+Events!G62+Communications!G61+Admin!G61)</f>
        <v>0</v>
      </c>
      <c r="H69" s="15">
        <f>SUM(Membership!H61+GA!H61+Education!H61+Events!H62+Communications!H61+Admin!H61)</f>
        <v>0</v>
      </c>
      <c r="I69" s="15">
        <f>SUM(Membership!I61+GA!I61+Education!I61+Events!I62+Communications!I61+Admin!I61)</f>
        <v>0</v>
      </c>
      <c r="J69" s="15">
        <f>SUM(Membership!J61+GA!J61+Education!J61+Events!J62+Communications!J61+Admin!J61)</f>
        <v>0</v>
      </c>
      <c r="K69" s="15">
        <f>SUM(Membership!K61+GA!K61+Education!K61+Events!K62+Communications!K61+Admin!K61)</f>
        <v>0</v>
      </c>
      <c r="L69" s="15">
        <f>SUM(Membership!L61+GA!L61+Education!L61+Events!L62+Communications!L61+Admin!L61)</f>
        <v>0</v>
      </c>
      <c r="M69" s="15">
        <f>SUM(Membership!M61+GA!M61+Education!M61+Events!M62+Communications!M61+Admin!M61)</f>
        <v>0</v>
      </c>
      <c r="N69" s="15">
        <f t="shared" si="15"/>
        <v>0</v>
      </c>
      <c r="O69" s="46"/>
      <c r="P69" s="46"/>
      <c r="Q69" s="46"/>
      <c r="R69" s="125"/>
    </row>
    <row r="70" spans="1:18" ht="14.25" hidden="1" customHeight="1" x14ac:dyDescent="0.25">
      <c r="A70" s="16" t="s">
        <v>85</v>
      </c>
      <c r="B70" s="15">
        <f>SUM(Membership!B62+GA!B62+Education!B62+Events!B63+Communications!B62+Admin!B62)</f>
        <v>0</v>
      </c>
      <c r="C70" s="15">
        <f>SUM(Membership!C62+GA!C62+Education!C62+Events!C63+Communications!C62+Admin!C62)</f>
        <v>0</v>
      </c>
      <c r="D70" s="15">
        <f>SUM(Membership!D62+GA!D62+Education!D62+Events!D63+Communications!D62+Admin!D62)</f>
        <v>0</v>
      </c>
      <c r="E70" s="15">
        <f>SUM(Membership!E62+GA!E62+Education!E62+Events!E63+Communications!E62+Admin!E62)</f>
        <v>0</v>
      </c>
      <c r="F70" s="15">
        <f>SUM(Membership!F62+GA!F62+Education!F62+Events!F63+Communications!F62+Admin!F62)</f>
        <v>0</v>
      </c>
      <c r="G70" s="15">
        <f>SUM(Membership!G62+GA!G62+Education!G62+Events!G63+Communications!G62+Admin!G62)</f>
        <v>0</v>
      </c>
      <c r="H70" s="15">
        <f>SUM(Membership!H62+GA!H62+Education!H62+Events!H63+Communications!H62+Admin!H62)</f>
        <v>0</v>
      </c>
      <c r="I70" s="15">
        <f>SUM(Membership!I62+GA!I62+Education!I62+Events!I63+Communications!I62+Admin!I62)</f>
        <v>0</v>
      </c>
      <c r="J70" s="15">
        <f>SUM(Membership!J62+GA!J62+Education!J62+Events!J63+Communications!J62+Admin!J62)</f>
        <v>0</v>
      </c>
      <c r="K70" s="15">
        <f>SUM(Membership!K62+GA!K62+Education!K62+Events!K63+Communications!K62+Admin!K62)</f>
        <v>0</v>
      </c>
      <c r="L70" s="15">
        <f>SUM(Membership!L62+GA!L62+Education!L62+Events!L63+Communications!L62+Admin!L62)</f>
        <v>0</v>
      </c>
      <c r="M70" s="15">
        <f>SUM(Membership!M62+GA!M62+Education!M62+Events!M63+Communications!M62+Admin!M62)</f>
        <v>0</v>
      </c>
      <c r="N70" s="15">
        <f t="shared" si="15"/>
        <v>0</v>
      </c>
      <c r="O70" s="46"/>
      <c r="P70" s="46"/>
      <c r="Q70" s="46"/>
      <c r="R70" s="125"/>
    </row>
    <row r="71" spans="1:18" ht="14.25" hidden="1" customHeight="1" x14ac:dyDescent="0.25">
      <c r="A71" s="16" t="s">
        <v>86</v>
      </c>
      <c r="B71" s="15">
        <f>SUM(Membership!B63+GA!B63+Education!B63+Events!B64+Communications!B63+Admin!B63)</f>
        <v>0</v>
      </c>
      <c r="C71" s="15">
        <f>SUM(Membership!C63+GA!C63+Education!C63+Events!C64+Communications!C63+Admin!C63)</f>
        <v>0</v>
      </c>
      <c r="D71" s="15">
        <f>SUM(Membership!D63+GA!D63+Education!D63+Events!D64+Communications!D63+Admin!D63)</f>
        <v>0</v>
      </c>
      <c r="E71" s="15">
        <f>SUM(Membership!E63+GA!E63+Education!E63+Events!E64+Communications!E63+Admin!E63)</f>
        <v>0</v>
      </c>
      <c r="F71" s="15">
        <f>SUM(Membership!F63+GA!F63+Education!F63+Events!F64+Communications!F63+Admin!F63)</f>
        <v>0</v>
      </c>
      <c r="G71" s="15">
        <f>SUM(Membership!G63+GA!G63+Education!G63+Events!G64+Communications!G63+Admin!G63)</f>
        <v>0</v>
      </c>
      <c r="H71" s="15">
        <f>SUM(Membership!H63+GA!H63+Education!H63+Events!H64+Communications!H63+Admin!H63)</f>
        <v>0</v>
      </c>
      <c r="I71" s="15">
        <f>SUM(Membership!I63+GA!I63+Education!I63+Events!I64+Communications!I63+Admin!I63)</f>
        <v>0</v>
      </c>
      <c r="J71" s="15">
        <f>SUM(Membership!J63+GA!J63+Education!J63+Events!J64+Communications!J63+Admin!J63)</f>
        <v>0</v>
      </c>
      <c r="K71" s="15">
        <f>SUM(Membership!K63+GA!K63+Education!K63+Events!K64+Communications!K63+Admin!K63)</f>
        <v>0</v>
      </c>
      <c r="L71" s="15">
        <f>SUM(Membership!L63+GA!L63+Education!L63+Events!L64+Communications!L63+Admin!L63)</f>
        <v>0</v>
      </c>
      <c r="M71" s="15">
        <f>SUM(Membership!M63+GA!M63+Education!M63+Events!M64+Communications!M63+Admin!M63)</f>
        <v>0</v>
      </c>
      <c r="N71" s="15">
        <f t="shared" si="15"/>
        <v>0</v>
      </c>
      <c r="O71" s="46"/>
      <c r="P71" s="46"/>
      <c r="Q71" s="46"/>
      <c r="R71" s="125"/>
    </row>
    <row r="72" spans="1:18" ht="14.25" hidden="1" customHeight="1" x14ac:dyDescent="0.25">
      <c r="A72" s="16" t="s">
        <v>87</v>
      </c>
      <c r="B72" s="15">
        <f>SUM(Membership!B64+GA!B64+Education!B64+Events!B65+Communications!B64+Admin!B64)</f>
        <v>0</v>
      </c>
      <c r="C72" s="15">
        <f>SUM(Membership!C64+GA!C64+Education!C64+Events!C65+Communications!C64+Admin!C64)</f>
        <v>0</v>
      </c>
      <c r="D72" s="15">
        <f>SUM(Membership!D64+GA!D64+Education!D64+Events!D65+Communications!D64+Admin!D64)</f>
        <v>0</v>
      </c>
      <c r="E72" s="15">
        <f>SUM(Membership!E64+GA!E64+Education!E64+Events!E65+Communications!E64+Admin!E64)</f>
        <v>0</v>
      </c>
      <c r="F72" s="15">
        <f>SUM(Membership!F64+GA!F64+Education!F64+Events!F65+Communications!F64+Admin!F64)</f>
        <v>0</v>
      </c>
      <c r="G72" s="15">
        <f>SUM(Membership!G64+GA!G64+Education!G64+Events!G65+Communications!G64+Admin!G64)</f>
        <v>0</v>
      </c>
      <c r="H72" s="15">
        <f>SUM(Membership!H64+GA!H64+Education!H64+Events!H65+Communications!H64+Admin!H64)</f>
        <v>0</v>
      </c>
      <c r="I72" s="15">
        <f>SUM(Membership!I64+GA!I64+Education!I64+Events!I65+Communications!I64+Admin!I64)</f>
        <v>0</v>
      </c>
      <c r="J72" s="15">
        <f>SUM(Membership!J64+GA!J64+Education!J64+Events!J65+Communications!J64+Admin!J64)</f>
        <v>0</v>
      </c>
      <c r="K72" s="15">
        <f>SUM(Membership!K64+GA!K64+Education!K64+Events!K65+Communications!K64+Admin!K64)</f>
        <v>0</v>
      </c>
      <c r="L72" s="15">
        <f>SUM(Membership!L64+GA!L64+Education!L64+Events!L65+Communications!L64+Admin!L64)</f>
        <v>0</v>
      </c>
      <c r="M72" s="15">
        <f>SUM(Membership!M64+GA!M64+Education!M64+Events!M65+Communications!M64+Admin!M64)</f>
        <v>0</v>
      </c>
      <c r="N72" s="15">
        <f t="shared" si="15"/>
        <v>0</v>
      </c>
      <c r="O72" s="46"/>
      <c r="P72" s="46"/>
      <c r="Q72" s="46"/>
      <c r="R72" s="125"/>
    </row>
    <row r="73" spans="1:18" ht="33" hidden="1" customHeight="1" x14ac:dyDescent="0.25">
      <c r="A73" s="51" t="s">
        <v>88</v>
      </c>
      <c r="B73" s="52">
        <f>SUM(Membership!B65+GA!B65+Education!B65+Events!B66+Communications!B65+Admin!B65)</f>
        <v>850</v>
      </c>
      <c r="C73" s="52">
        <f>SUM(Membership!C65+GA!C65+Education!C65+Events!C66+Communications!C65+Admin!C65)</f>
        <v>300</v>
      </c>
      <c r="D73" s="52">
        <f>SUM(Membership!D65+GA!D65+Education!D65+Events!D66+Communications!D65+Admin!D65)</f>
        <v>300</v>
      </c>
      <c r="E73" s="52">
        <f>SUM(Membership!E65+GA!E65+Education!E65+Events!E66+Communications!E65+Admin!E65)</f>
        <v>300</v>
      </c>
      <c r="F73" s="52">
        <f>SUM(Membership!F65+GA!F65+Education!F65+Events!F66+Communications!F65+Admin!F65)</f>
        <v>300</v>
      </c>
      <c r="G73" s="52">
        <f>SUM(Membership!G65+GA!G65+Education!G65+Events!G66+Communications!G65+Admin!G65)</f>
        <v>300</v>
      </c>
      <c r="H73" s="52">
        <f>SUM(Membership!H65+GA!H65+Education!H65+Events!H66+Communications!H65+Admin!H65)</f>
        <v>300</v>
      </c>
      <c r="I73" s="52">
        <f>SUM(Membership!I65+GA!I65+Education!I65+Events!I66+Communications!I65+Admin!I65)</f>
        <v>300</v>
      </c>
      <c r="J73" s="52">
        <f>SUM(Membership!J65+GA!J65+Education!J65+Events!J66+Communications!J65+Admin!J65)</f>
        <v>300</v>
      </c>
      <c r="K73" s="52">
        <f>SUM(Membership!K65+GA!K65+Education!K65+Events!K66+Communications!K65+Admin!K65)</f>
        <v>300</v>
      </c>
      <c r="L73" s="52">
        <f>SUM(Membership!L65+GA!L65+Education!L65+Events!L66+Communications!L65+Admin!L65)</f>
        <v>300</v>
      </c>
      <c r="M73" s="52">
        <f>SUM(Membership!M65+GA!M65+Education!M65+Events!M66+Communications!M65+Admin!M65)</f>
        <v>300</v>
      </c>
      <c r="N73" s="52">
        <f t="shared" si="15"/>
        <v>4150</v>
      </c>
      <c r="O73" s="53">
        <f>4360.14+1000</f>
        <v>5360.14</v>
      </c>
      <c r="P73" s="53">
        <f>5448</f>
        <v>5448</v>
      </c>
      <c r="Q73" s="53">
        <f>N73-O73</f>
        <v>-1210.1400000000003</v>
      </c>
      <c r="R73" s="128" t="s">
        <v>201</v>
      </c>
    </row>
    <row r="74" spans="1:18" ht="14.25" hidden="1" customHeight="1" x14ac:dyDescent="0.25">
      <c r="A74" s="16" t="s">
        <v>89</v>
      </c>
      <c r="B74" s="15">
        <f>SUM(Membership!B66+GA!B66+Education!B66+Events!B67+Communications!B66+Admin!B66)</f>
        <v>0</v>
      </c>
      <c r="C74" s="15">
        <f>SUM(Membership!C66+GA!C66+Education!C66+Events!C67+Communications!C66+Admin!C66)</f>
        <v>0</v>
      </c>
      <c r="D74" s="15">
        <f>SUM(Membership!D66+GA!D66+Education!D66+Events!D67+Communications!D66+Admin!D66)</f>
        <v>0</v>
      </c>
      <c r="E74" s="15">
        <f>SUM(Membership!E66+GA!E66+Education!E66+Events!E67+Communications!E66+Admin!E66)</f>
        <v>0</v>
      </c>
      <c r="F74" s="15">
        <f>SUM(Membership!F66+GA!F66+Education!F66+Events!F67+Communications!F66+Admin!F66)</f>
        <v>0</v>
      </c>
      <c r="G74" s="15">
        <f>SUM(Membership!G66+GA!G66+Education!G66+Events!G67+Communications!G66+Admin!G66)</f>
        <v>0</v>
      </c>
      <c r="H74" s="15">
        <f>SUM(Membership!H66+GA!H66+Education!H66+Events!H67+Communications!H66+Admin!H66)</f>
        <v>0</v>
      </c>
      <c r="I74" s="15">
        <f>SUM(Membership!I66+GA!I66+Education!I66+Events!I67+Communications!I66+Admin!I66)</f>
        <v>0</v>
      </c>
      <c r="J74" s="15">
        <f>SUM(Membership!J66+GA!J66+Education!J66+Events!J67+Communications!J66+Admin!J66)</f>
        <v>0</v>
      </c>
      <c r="K74" s="15">
        <f>SUM(Membership!K66+GA!K66+Education!K66+Events!K67+Communications!K66+Admin!K66)</f>
        <v>0</v>
      </c>
      <c r="L74" s="15">
        <f>SUM(Membership!L66+GA!L66+Education!L66+Events!L67+Communications!L66+Admin!L66)</f>
        <v>0</v>
      </c>
      <c r="M74" s="15">
        <f>SUM(Membership!M66+GA!M66+Education!M66+Events!M67+Communications!M66+Admin!M66)</f>
        <v>0</v>
      </c>
      <c r="N74" s="15">
        <f t="shared" si="15"/>
        <v>0</v>
      </c>
      <c r="O74" s="46"/>
      <c r="P74" s="46"/>
      <c r="Q74" s="46"/>
      <c r="R74" s="125"/>
    </row>
    <row r="75" spans="1:18" ht="14.25" hidden="1" customHeight="1" x14ac:dyDescent="0.25">
      <c r="A75" s="16" t="s">
        <v>90</v>
      </c>
      <c r="B75" s="15">
        <f>SUM(Membership!B67+GA!B67+Education!B67+Events!B68+Communications!B67+Admin!B67)</f>
        <v>0</v>
      </c>
      <c r="C75" s="15">
        <f>SUM(Membership!C67+GA!C67+Education!C67+Events!C68+Communications!C67+Admin!C67)</f>
        <v>0</v>
      </c>
      <c r="D75" s="15">
        <f>SUM(Membership!D67+GA!D67+Education!D67+Events!D68+Communications!D67+Admin!D67)</f>
        <v>0</v>
      </c>
      <c r="E75" s="15">
        <f>SUM(Membership!E67+GA!E67+Education!E67+Events!E68+Communications!E67+Admin!E67)</f>
        <v>0</v>
      </c>
      <c r="F75" s="15">
        <f>SUM(Membership!F67+GA!F67+Education!F67+Events!F68+Communications!F67+Admin!F67)</f>
        <v>0</v>
      </c>
      <c r="G75" s="15">
        <f>SUM(Membership!G67+GA!G67+Education!G67+Events!G68+Communications!G67+Admin!G67)</f>
        <v>0</v>
      </c>
      <c r="H75" s="15">
        <f>SUM(Membership!H67+GA!H67+Education!H67+Events!H68+Communications!H67+Admin!H67)</f>
        <v>0</v>
      </c>
      <c r="I75" s="15">
        <f>SUM(Membership!I67+GA!I67+Education!I67+Events!I68+Communications!I67+Admin!I67)</f>
        <v>0</v>
      </c>
      <c r="J75" s="15">
        <f>SUM(Membership!J67+GA!J67+Education!J67+Events!J68+Communications!J67+Admin!J67)</f>
        <v>0</v>
      </c>
      <c r="K75" s="15">
        <f>SUM(Membership!K67+GA!K67+Education!K67+Events!K68+Communications!K67+Admin!K67)</f>
        <v>0</v>
      </c>
      <c r="L75" s="15">
        <f>SUM(Membership!L67+GA!L67+Education!L67+Events!L68+Communications!L67+Admin!L67)</f>
        <v>0</v>
      </c>
      <c r="M75" s="15">
        <f>SUM(Membership!M67+GA!M67+Education!M67+Events!M68+Communications!M67+Admin!M67)</f>
        <v>0</v>
      </c>
      <c r="N75" s="15">
        <f t="shared" si="15"/>
        <v>0</v>
      </c>
      <c r="O75" s="46"/>
      <c r="P75" s="46"/>
      <c r="Q75" s="46"/>
      <c r="R75" s="125"/>
    </row>
    <row r="76" spans="1:18" ht="14.25" customHeight="1" x14ac:dyDescent="0.25">
      <c r="A76" s="16" t="s">
        <v>91</v>
      </c>
      <c r="B76" s="15">
        <f>SUM(Membership!B68+GA!B68+Education!B68+Events!B69+Communications!B68+Admin!B68)</f>
        <v>0</v>
      </c>
      <c r="C76" s="15">
        <f>SUM(Membership!C68+GA!C68+Education!C68+Events!C69+Communications!C68+Admin!C68)</f>
        <v>0</v>
      </c>
      <c r="D76" s="15">
        <f>SUM(Membership!D68+GA!D68+Education!D68+Events!D69+Communications!D68+Admin!D68)</f>
        <v>0</v>
      </c>
      <c r="E76" s="15">
        <f>SUM(Membership!E68+GA!E68+Education!E68+Events!E69+Communications!E68+Admin!E68)</f>
        <v>0</v>
      </c>
      <c r="F76" s="15">
        <f>SUM(Membership!F68+GA!F68+Education!F68+Events!F69+Communications!F68+Admin!F68)</f>
        <v>0</v>
      </c>
      <c r="G76" s="15">
        <f>SUM(Membership!G68+GA!G68+Education!G68+Events!G69+Communications!G68+Admin!G68)</f>
        <v>0</v>
      </c>
      <c r="H76" s="15">
        <f>SUM(Membership!H68+GA!H68+Education!H68+Events!H69+Communications!H68+Admin!H68)</f>
        <v>460</v>
      </c>
      <c r="I76" s="15">
        <f>SUM(Membership!I68+GA!I68+Education!I68+Events!I69+Communications!I68+Admin!I68)</f>
        <v>0</v>
      </c>
      <c r="J76" s="15">
        <f>SUM(Membership!J68+GA!J68+Education!J68+Events!J69+Communications!J68+Admin!J68)</f>
        <v>460</v>
      </c>
      <c r="K76" s="15">
        <f>SUM(Membership!K68+GA!K68+Education!K68+Events!K69+Communications!K68+Admin!K68)</f>
        <v>1860</v>
      </c>
      <c r="L76" s="15">
        <f>SUM(Membership!L68+GA!L68+Education!L68+Events!L69+Communications!L68+Admin!L68)</f>
        <v>0</v>
      </c>
      <c r="M76" s="15">
        <f>SUM(Membership!M68+GA!M68+Education!M68+Events!M69+Communications!M68+Admin!M68)</f>
        <v>250</v>
      </c>
      <c r="N76" s="15">
        <f t="shared" si="15"/>
        <v>3030</v>
      </c>
      <c r="O76" s="46">
        <f>3030</f>
        <v>3030</v>
      </c>
      <c r="P76" s="46">
        <f>3050</f>
        <v>3050</v>
      </c>
      <c r="Q76" s="46">
        <f>N76-O76</f>
        <v>0</v>
      </c>
      <c r="R76" s="125"/>
    </row>
    <row r="77" spans="1:18" ht="0.75" customHeight="1" x14ac:dyDescent="0.25">
      <c r="A77" s="16" t="s">
        <v>92</v>
      </c>
      <c r="B77" s="15">
        <f>SUM(Membership!B69+GA!B69+Education!B69+Events!B70+Communications!B69+Admin!B69)</f>
        <v>0</v>
      </c>
      <c r="C77" s="15">
        <f>SUM(Membership!C69+GA!C69+Education!C69+Events!C70+Communications!C69+Admin!C69)</f>
        <v>0</v>
      </c>
      <c r="D77" s="15">
        <f>SUM(Membership!D69+GA!D69+Education!D69+Events!D70+Communications!D69+Admin!D69)</f>
        <v>0</v>
      </c>
      <c r="E77" s="15">
        <f>SUM(Membership!E69+GA!E69+Education!E69+Events!E70+Communications!E69+Admin!E69)</f>
        <v>0</v>
      </c>
      <c r="F77" s="15">
        <f>SUM(Membership!F69+GA!F69+Education!F69+Events!F70+Communications!F69+Admin!F69)</f>
        <v>0</v>
      </c>
      <c r="G77" s="15">
        <f>SUM(Membership!G69+GA!G69+Education!G69+Events!G70+Communications!G69+Admin!G69)</f>
        <v>0</v>
      </c>
      <c r="H77" s="15">
        <f>SUM(Membership!H69+GA!H69+Education!H69+Events!H70+Communications!H69+Admin!H69)</f>
        <v>0</v>
      </c>
      <c r="I77" s="15">
        <f>SUM(Membership!I69+GA!I69+Education!I69+Events!I70+Communications!I69+Admin!I69)</f>
        <v>0</v>
      </c>
      <c r="J77" s="15">
        <f>SUM(Membership!J69+GA!J69+Education!J69+Events!J70+Communications!J69+Admin!J69)</f>
        <v>0</v>
      </c>
      <c r="K77" s="15">
        <f>SUM(Membership!K69+GA!K69+Education!K69+Events!K70+Communications!K69+Admin!K69)</f>
        <v>0</v>
      </c>
      <c r="L77" s="15">
        <f>SUM(Membership!L69+GA!L69+Education!L69+Events!L70+Communications!L69+Admin!L69)</f>
        <v>0</v>
      </c>
      <c r="M77" s="15">
        <f>SUM(Membership!M69+GA!M69+Education!M69+Events!M70+Communications!M69+Admin!M69)</f>
        <v>0</v>
      </c>
      <c r="N77" s="15">
        <f t="shared" si="15"/>
        <v>0</v>
      </c>
      <c r="O77" s="46"/>
      <c r="P77" s="46"/>
      <c r="Q77" s="46"/>
      <c r="R77" s="125"/>
    </row>
    <row r="78" spans="1:18" ht="14.25" customHeight="1" x14ac:dyDescent="0.25">
      <c r="A78" s="16" t="s">
        <v>93</v>
      </c>
      <c r="B78" s="15">
        <f>SUM(Membership!B70+GA!B70+Education!B70+Events!B71+Communications!B70+Admin!B70)</f>
        <v>11163</v>
      </c>
      <c r="C78" s="15">
        <f>SUM(Membership!C70+GA!C70+Education!C70+Events!C71+Communications!C70+Admin!C70)</f>
        <v>11163</v>
      </c>
      <c r="D78" s="15">
        <f>SUM(Membership!D70+GA!D70+Education!D70+Events!D71+Communications!D70+Admin!D70)</f>
        <v>11163</v>
      </c>
      <c r="E78" s="15">
        <f>SUM(Membership!E70+GA!E70+Education!E70+Events!E71+Communications!E70+Admin!E70)</f>
        <v>11163</v>
      </c>
      <c r="F78" s="15">
        <f>SUM(Membership!F70+GA!F70+Education!F70+Events!F71+Communications!F70+Admin!F70)</f>
        <v>11163</v>
      </c>
      <c r="G78" s="15">
        <f>SUM(Membership!G70+GA!G70+Education!G70+Events!G71+Communications!G70+Admin!G70)</f>
        <v>11163</v>
      </c>
      <c r="H78" s="15">
        <f>SUM(Membership!H70+GA!H70+Education!H70+Events!H71+Communications!H70+Admin!H70)</f>
        <v>11163</v>
      </c>
      <c r="I78" s="15">
        <f>SUM(Membership!I70+GA!I70+Education!I70+Events!I71+Communications!I70+Admin!I70)</f>
        <v>11163</v>
      </c>
      <c r="J78" s="15">
        <f>SUM(Membership!J70+GA!J70+Education!J70+Events!J71+Communications!J70+Admin!J70)</f>
        <v>11163</v>
      </c>
      <c r="K78" s="15">
        <f>SUM(Membership!K70+GA!K70+Education!K70+Events!K71+Communications!K70+Admin!K70)</f>
        <v>11163</v>
      </c>
      <c r="L78" s="15">
        <f>SUM(Membership!L70+GA!L70+Education!L70+Events!L71+Communications!L70+Admin!L70)</f>
        <v>11163</v>
      </c>
      <c r="M78" s="15">
        <f>SUM(Membership!M70+GA!M70+Education!M70+Events!M71+Communications!M70+Admin!M70)</f>
        <v>11164</v>
      </c>
      <c r="N78" s="15">
        <f t="shared" si="15"/>
        <v>133957</v>
      </c>
      <c r="O78" s="46">
        <f>106975.64</f>
        <v>106975.64</v>
      </c>
      <c r="P78" s="46">
        <f>118499.99</f>
        <v>118499.99</v>
      </c>
      <c r="Q78" s="46">
        <f>N78-O78</f>
        <v>26981.360000000001</v>
      </c>
      <c r="R78" s="125"/>
    </row>
    <row r="79" spans="1:18" ht="14.25" hidden="1" customHeight="1" x14ac:dyDescent="0.25">
      <c r="A79" s="16" t="s">
        <v>94</v>
      </c>
      <c r="B79" s="15">
        <f>SUM(Membership!B71+GA!B71+Education!B71+Events!B72+Communications!B71+Admin!B71)</f>
        <v>0</v>
      </c>
      <c r="C79" s="15">
        <f>SUM(Membership!C71+GA!C71+Education!C71+Events!C72+Communications!C71+Admin!C71)</f>
        <v>0</v>
      </c>
      <c r="D79" s="15">
        <f>SUM(Membership!D71+GA!D71+Education!D71+Events!D72+Communications!D71+Admin!D71)</f>
        <v>0</v>
      </c>
      <c r="E79" s="15">
        <f>SUM(Membership!E71+GA!E71+Education!E71+Events!E72+Communications!E71+Admin!E71)</f>
        <v>0</v>
      </c>
      <c r="F79" s="15">
        <f>SUM(Membership!F71+GA!F71+Education!F71+Events!F72+Communications!F71+Admin!F71)</f>
        <v>0</v>
      </c>
      <c r="G79" s="15">
        <f>SUM(Membership!G71+GA!G71+Education!G71+Events!G72+Communications!G71+Admin!G71)</f>
        <v>0</v>
      </c>
      <c r="H79" s="15">
        <f>SUM(Membership!H71+GA!H71+Education!H71+Events!H72+Communications!H71+Admin!H71)</f>
        <v>0</v>
      </c>
      <c r="I79" s="15">
        <f>SUM(Membership!I71+GA!I71+Education!I71+Events!I72+Communications!I71+Admin!I71)</f>
        <v>0</v>
      </c>
      <c r="J79" s="15">
        <f>SUM(Membership!J71+GA!J71+Education!J71+Events!J72+Communications!J71+Admin!J71)</f>
        <v>0</v>
      </c>
      <c r="K79" s="15">
        <f>SUM(Membership!K71+GA!K71+Education!K71+Events!K72+Communications!K71+Admin!K71)</f>
        <v>0</v>
      </c>
      <c r="L79" s="15">
        <f>SUM(Membership!L71+GA!L71+Education!L71+Events!L72+Communications!L71+Admin!L71)</f>
        <v>0</v>
      </c>
      <c r="M79" s="15">
        <f>SUM(Membership!M71+GA!M71+Education!M71+Events!M72+Communications!M71+Admin!M71)</f>
        <v>0</v>
      </c>
      <c r="N79" s="15">
        <f t="shared" si="15"/>
        <v>0</v>
      </c>
      <c r="O79" s="46"/>
      <c r="P79" s="46"/>
      <c r="Q79" s="46"/>
      <c r="R79" s="125"/>
    </row>
    <row r="80" spans="1:18" ht="14.25" hidden="1" customHeight="1" x14ac:dyDescent="0.25">
      <c r="A80" s="16" t="s">
        <v>95</v>
      </c>
      <c r="B80" s="15">
        <f>SUM(Membership!B72+GA!B72+Education!B72+Events!B73+Communications!B72+Admin!B72)</f>
        <v>0</v>
      </c>
      <c r="C80" s="15">
        <f>SUM(Membership!C72+GA!C72+Education!C72+Events!C73+Communications!C72+Admin!C72)</f>
        <v>0</v>
      </c>
      <c r="D80" s="15">
        <f>SUM(Membership!D72+GA!D72+Education!D72+Events!D73+Communications!D72+Admin!D72)</f>
        <v>0</v>
      </c>
      <c r="E80" s="15">
        <f>SUM(Membership!E72+GA!E72+Education!E72+Events!E73+Communications!E72+Admin!E72)</f>
        <v>0</v>
      </c>
      <c r="F80" s="15">
        <f>SUM(Membership!F72+GA!F72+Education!F72+Events!F73+Communications!F72+Admin!F72)</f>
        <v>0</v>
      </c>
      <c r="G80" s="15">
        <f>SUM(Membership!G72+GA!G72+Education!G72+Events!G73+Communications!G72+Admin!G72)</f>
        <v>0</v>
      </c>
      <c r="H80" s="15">
        <f>SUM(Membership!H72+GA!H72+Education!H72+Events!H73+Communications!H72+Admin!H72)</f>
        <v>0</v>
      </c>
      <c r="I80" s="15">
        <f>SUM(Membership!I72+GA!I72+Education!I72+Events!I73+Communications!I72+Admin!I72)</f>
        <v>0</v>
      </c>
      <c r="J80" s="15">
        <f>SUM(Membership!J72+GA!J72+Education!J72+Events!J73+Communications!J72+Admin!J72)</f>
        <v>0</v>
      </c>
      <c r="K80" s="15">
        <f>SUM(Membership!K72+GA!K72+Education!K72+Events!K73+Communications!K72+Admin!K72)</f>
        <v>0</v>
      </c>
      <c r="L80" s="15">
        <f>SUM(Membership!L72+GA!L72+Education!L72+Events!L73+Communications!L72+Admin!L72)</f>
        <v>0</v>
      </c>
      <c r="M80" s="15">
        <f>SUM(Membership!M72+GA!M72+Education!M72+Events!M73+Communications!M72+Admin!M72)</f>
        <v>0</v>
      </c>
      <c r="N80" s="15">
        <f t="shared" si="15"/>
        <v>0</v>
      </c>
      <c r="O80" s="46"/>
      <c r="P80" s="46"/>
      <c r="Q80" s="46"/>
      <c r="R80" s="125"/>
    </row>
    <row r="81" spans="1:18" s="34" customFormat="1" ht="14.25" hidden="1" customHeight="1" x14ac:dyDescent="0.25">
      <c r="A81" s="35" t="s">
        <v>96</v>
      </c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49"/>
      <c r="P81" s="49"/>
      <c r="Q81" s="49"/>
      <c r="R81" s="126"/>
    </row>
    <row r="82" spans="1:18" ht="14.25" hidden="1" customHeight="1" x14ac:dyDescent="0.25">
      <c r="A82" s="16" t="s">
        <v>97</v>
      </c>
      <c r="B82" s="15">
        <f>SUM(Membership!B74+GA!B74+Education!B74+Events!B75+Communications!B74+Admin!B74)</f>
        <v>0</v>
      </c>
      <c r="C82" s="15">
        <f>SUM(Membership!C74+GA!C74+Education!C74+Events!C75+Communications!C74+Admin!C74)</f>
        <v>0</v>
      </c>
      <c r="D82" s="15">
        <f>SUM(Membership!D74+GA!D74+Education!D74+Events!D75+Communications!D74+Admin!D74)</f>
        <v>0</v>
      </c>
      <c r="E82" s="15">
        <f>SUM(Membership!E74+GA!E74+Education!E74+Events!E75+Communications!E74+Admin!E74)</f>
        <v>0</v>
      </c>
      <c r="F82" s="15">
        <f>SUM(Membership!F74+GA!F74+Education!F74+Events!F75+Communications!F74+Admin!F74)</f>
        <v>0</v>
      </c>
      <c r="G82" s="15">
        <f>SUM(Membership!G74+GA!G74+Education!G74+Events!G75+Communications!G74+Admin!G74)</f>
        <v>0</v>
      </c>
      <c r="H82" s="15">
        <f>SUM(Membership!H74+GA!H74+Education!H74+Events!H75+Communications!H74+Admin!H74)</f>
        <v>0</v>
      </c>
      <c r="I82" s="15">
        <f>SUM(Membership!I74+GA!I74+Education!I74+Events!I75+Communications!I74+Admin!I74)</f>
        <v>0</v>
      </c>
      <c r="J82" s="15">
        <f>SUM(Membership!J74+GA!J74+Education!J74+Events!J75+Communications!J74+Admin!J74)</f>
        <v>0</v>
      </c>
      <c r="K82" s="15">
        <f>SUM(Membership!K74+GA!K74+Education!K74+Events!K75+Communications!K74+Admin!K74)</f>
        <v>0</v>
      </c>
      <c r="L82" s="15">
        <f>SUM(Membership!L74+GA!L74+Education!L74+Events!L75+Communications!L74+Admin!L74)</f>
        <v>0</v>
      </c>
      <c r="M82" s="15">
        <f>SUM(Membership!M74+GA!M74+Education!M74+Events!M75+Communications!M74+Admin!M74)</f>
        <v>0</v>
      </c>
      <c r="N82" s="15">
        <f t="shared" si="15"/>
        <v>0</v>
      </c>
      <c r="O82" s="46"/>
      <c r="P82" s="46"/>
      <c r="Q82" s="46"/>
      <c r="R82" s="125"/>
    </row>
    <row r="83" spans="1:18" ht="14.25" hidden="1" customHeight="1" x14ac:dyDescent="0.25">
      <c r="A83" s="16" t="s">
        <v>98</v>
      </c>
      <c r="B83" s="15">
        <f>SUM(Membership!B75+GA!B75+Education!B75+Events!B76+Communications!B75+Admin!B75)</f>
        <v>0</v>
      </c>
      <c r="C83" s="15">
        <f>SUM(Membership!C75+GA!C75+Education!C75+Events!C76+Communications!C75+Admin!C75)</f>
        <v>0</v>
      </c>
      <c r="D83" s="15">
        <f>SUM(Membership!D75+GA!D75+Education!D75+Events!D76+Communications!D75+Admin!D75)</f>
        <v>0</v>
      </c>
      <c r="E83" s="15">
        <f>SUM(Membership!E75+GA!E75+Education!E75+Events!E76+Communications!E75+Admin!E75)</f>
        <v>0</v>
      </c>
      <c r="F83" s="15">
        <f>SUM(Membership!F75+GA!F75+Education!F75+Events!F76+Communications!F75+Admin!F75)</f>
        <v>0</v>
      </c>
      <c r="G83" s="15">
        <f>SUM(Membership!G75+GA!G75+Education!G75+Events!G76+Communications!G75+Admin!G75)</f>
        <v>0</v>
      </c>
      <c r="H83" s="15">
        <f>SUM(Membership!H75+GA!H75+Education!H75+Events!H76+Communications!H75+Admin!H75)</f>
        <v>0</v>
      </c>
      <c r="I83" s="15">
        <f>SUM(Membership!I75+GA!I75+Education!I75+Events!I76+Communications!I75+Admin!I75)</f>
        <v>0</v>
      </c>
      <c r="J83" s="15">
        <f>SUM(Membership!J75+GA!J75+Education!J75+Events!J76+Communications!J75+Admin!J75)</f>
        <v>0</v>
      </c>
      <c r="K83" s="15">
        <f>SUM(Membership!K75+GA!K75+Education!K75+Events!K76+Communications!K75+Admin!K75)</f>
        <v>0</v>
      </c>
      <c r="L83" s="15">
        <f>SUM(Membership!L75+GA!L75+Education!L75+Events!L76+Communications!L75+Admin!L75)</f>
        <v>0</v>
      </c>
      <c r="M83" s="15">
        <f>SUM(Membership!M75+GA!M75+Education!M75+Events!M76+Communications!M75+Admin!M75)</f>
        <v>0</v>
      </c>
      <c r="N83" s="15">
        <f t="shared" si="15"/>
        <v>0</v>
      </c>
      <c r="O83" s="46"/>
      <c r="P83" s="46"/>
      <c r="Q83" s="46"/>
      <c r="R83" s="125"/>
    </row>
    <row r="84" spans="1:18" ht="14.25" hidden="1" customHeight="1" x14ac:dyDescent="0.25">
      <c r="A84" s="16" t="s">
        <v>99</v>
      </c>
      <c r="B84" s="15">
        <f>SUM(Membership!B76+GA!B76+Education!B76+Events!B77+Communications!B76+Admin!B76)</f>
        <v>0</v>
      </c>
      <c r="C84" s="15">
        <f>SUM(Membership!C76+GA!C76+Education!C76+Events!C77+Communications!C76+Admin!C76)</f>
        <v>0</v>
      </c>
      <c r="D84" s="15">
        <f>SUM(Membership!D76+GA!D76+Education!D76+Events!D77+Communications!D76+Admin!D76)</f>
        <v>0</v>
      </c>
      <c r="E84" s="15">
        <f>SUM(Membership!E76+GA!E76+Education!E76+Events!E77+Communications!E76+Admin!E76)</f>
        <v>0</v>
      </c>
      <c r="F84" s="15">
        <f>SUM(Membership!F76+GA!F76+Education!F76+Events!F77+Communications!F76+Admin!F76)</f>
        <v>0</v>
      </c>
      <c r="G84" s="15">
        <f>SUM(Membership!G76+GA!G76+Education!G76+Events!G77+Communications!G76+Admin!G76)</f>
        <v>0</v>
      </c>
      <c r="H84" s="15">
        <f>SUM(Membership!H76+GA!H76+Education!H76+Events!H77+Communications!H76+Admin!H76)</f>
        <v>0</v>
      </c>
      <c r="I84" s="15">
        <f>SUM(Membership!I76+GA!I76+Education!I76+Events!I77+Communications!I76+Admin!I76)</f>
        <v>0</v>
      </c>
      <c r="J84" s="15">
        <f>SUM(Membership!J76+GA!J76+Education!J76+Events!J77+Communications!J76+Admin!J76)</f>
        <v>0</v>
      </c>
      <c r="K84" s="15">
        <f>SUM(Membership!K76+GA!K76+Education!K76+Events!K77+Communications!K76+Admin!K76)</f>
        <v>0</v>
      </c>
      <c r="L84" s="15">
        <f>SUM(Membership!L76+GA!L76+Education!L76+Events!L77+Communications!L76+Admin!L76)</f>
        <v>0</v>
      </c>
      <c r="M84" s="15">
        <f>SUM(Membership!M76+GA!M76+Education!M76+Events!M77+Communications!M76+Admin!M76)</f>
        <v>0</v>
      </c>
      <c r="N84" s="15">
        <f t="shared" si="15"/>
        <v>0</v>
      </c>
      <c r="O84" s="46"/>
      <c r="P84" s="46"/>
      <c r="Q84" s="46"/>
      <c r="R84" s="125"/>
    </row>
    <row r="85" spans="1:18" ht="14.25" hidden="1" customHeight="1" x14ac:dyDescent="0.25">
      <c r="A85" s="16" t="s">
        <v>100</v>
      </c>
      <c r="B85" s="15">
        <f>SUM(Membership!B77+GA!B77+Education!B77+Events!B78+Communications!B77+Admin!B77)</f>
        <v>0</v>
      </c>
      <c r="C85" s="15">
        <f>SUM(Membership!C77+GA!C77+Education!C77+Events!C78+Communications!C77+Admin!C77)</f>
        <v>0</v>
      </c>
      <c r="D85" s="15">
        <f>SUM(Membership!D77+GA!D77+Education!D77+Events!D78+Communications!D77+Admin!D77)</f>
        <v>0</v>
      </c>
      <c r="E85" s="15">
        <f>SUM(Membership!E77+GA!E77+Education!E77+Events!E78+Communications!E77+Admin!E77)</f>
        <v>0</v>
      </c>
      <c r="F85" s="15">
        <f>SUM(Membership!F77+GA!F77+Education!F77+Events!F78+Communications!F77+Admin!F77)</f>
        <v>0</v>
      </c>
      <c r="G85" s="15">
        <f>SUM(Membership!G77+GA!G77+Education!G77+Events!G78+Communications!G77+Admin!G77)</f>
        <v>0</v>
      </c>
      <c r="H85" s="15">
        <f>SUM(Membership!H77+GA!H77+Education!H77+Events!H78+Communications!H77+Admin!H77)</f>
        <v>0</v>
      </c>
      <c r="I85" s="15">
        <f>SUM(Membership!I77+GA!I77+Education!I77+Events!I78+Communications!I77+Admin!I77)</f>
        <v>0</v>
      </c>
      <c r="J85" s="15">
        <f>SUM(Membership!J77+GA!J77+Education!J77+Events!J78+Communications!J77+Admin!J77)</f>
        <v>0</v>
      </c>
      <c r="K85" s="15">
        <f>SUM(Membership!K77+GA!K77+Education!K77+Events!K78+Communications!K77+Admin!K77)</f>
        <v>0</v>
      </c>
      <c r="L85" s="15">
        <f>SUM(Membership!L77+GA!L77+Education!L77+Events!L78+Communications!L77+Admin!L77)</f>
        <v>0</v>
      </c>
      <c r="M85" s="15">
        <f>SUM(Membership!M77+GA!M77+Education!M77+Events!M78+Communications!M77+Admin!M77)</f>
        <v>0</v>
      </c>
      <c r="N85" s="15">
        <f t="shared" si="15"/>
        <v>0</v>
      </c>
      <c r="O85" s="46"/>
      <c r="P85" s="46"/>
      <c r="Q85" s="46"/>
      <c r="R85" s="125"/>
    </row>
    <row r="86" spans="1:18" ht="14.25" hidden="1" customHeight="1" x14ac:dyDescent="0.25">
      <c r="A86" s="16" t="s">
        <v>101</v>
      </c>
      <c r="B86" s="15">
        <f>SUM(Membership!B78+GA!B78+Education!B78+Events!B79+Communications!B78+Admin!B78)</f>
        <v>0</v>
      </c>
      <c r="C86" s="15">
        <f>SUM(Membership!C78+GA!C78+Education!C78+Events!C79+Communications!C78+Admin!C78)</f>
        <v>0</v>
      </c>
      <c r="D86" s="15">
        <f>SUM(Membership!D78+GA!D78+Education!D78+Events!D79+Communications!D78+Admin!D78)</f>
        <v>0</v>
      </c>
      <c r="E86" s="15">
        <f>SUM(Membership!E78+GA!E78+Education!E78+Events!E79+Communications!E78+Admin!E78)</f>
        <v>0</v>
      </c>
      <c r="F86" s="15">
        <f>SUM(Membership!F78+GA!F78+Education!F78+Events!F79+Communications!F78+Admin!F78)</f>
        <v>0</v>
      </c>
      <c r="G86" s="15">
        <f>SUM(Membership!G78+GA!G78+Education!G78+Events!G79+Communications!G78+Admin!G78)</f>
        <v>0</v>
      </c>
      <c r="H86" s="15">
        <f>SUM(Membership!H78+GA!H78+Education!H78+Events!H79+Communications!H78+Admin!H78)</f>
        <v>0</v>
      </c>
      <c r="I86" s="15">
        <f>SUM(Membership!I78+GA!I78+Education!I78+Events!I79+Communications!I78+Admin!I78)</f>
        <v>0</v>
      </c>
      <c r="J86" s="15">
        <f>SUM(Membership!J78+GA!J78+Education!J78+Events!J79+Communications!J78+Admin!J78)</f>
        <v>0</v>
      </c>
      <c r="K86" s="15">
        <f>SUM(Membership!K78+GA!K78+Education!K78+Events!K79+Communications!K78+Admin!K78)</f>
        <v>0</v>
      </c>
      <c r="L86" s="15">
        <f>SUM(Membership!L78+GA!L78+Education!L78+Events!L79+Communications!L78+Admin!L78)</f>
        <v>0</v>
      </c>
      <c r="M86" s="15">
        <f>SUM(Membership!M78+GA!M78+Education!M78+Events!M79+Communications!M78+Admin!M78)</f>
        <v>0</v>
      </c>
      <c r="N86" s="15">
        <f t="shared" si="15"/>
        <v>0</v>
      </c>
      <c r="O86" s="46"/>
      <c r="P86" s="46"/>
      <c r="Q86" s="46"/>
      <c r="R86" s="125"/>
    </row>
    <row r="87" spans="1:18" ht="14.25" hidden="1" customHeight="1" x14ac:dyDescent="0.25">
      <c r="A87" s="16" t="s">
        <v>102</v>
      </c>
      <c r="B87" s="15">
        <f>SUM(Membership!B79+GA!B79+Education!B79+Events!B80+Communications!B79+Admin!B79)</f>
        <v>0</v>
      </c>
      <c r="C87" s="15">
        <f>SUM(Membership!C79+GA!C79+Education!C79+Events!C80+Communications!C79+Admin!C79)</f>
        <v>0</v>
      </c>
      <c r="D87" s="15">
        <f>SUM(Membership!D79+GA!D79+Education!D79+Events!D80+Communications!D79+Admin!D79)</f>
        <v>0</v>
      </c>
      <c r="E87" s="15">
        <f>SUM(Membership!E79+GA!E79+Education!E79+Events!E80+Communications!E79+Admin!E79)</f>
        <v>0</v>
      </c>
      <c r="F87" s="15">
        <f>SUM(Membership!F79+GA!F79+Education!F79+Events!F80+Communications!F79+Admin!F79)</f>
        <v>0</v>
      </c>
      <c r="G87" s="15">
        <f>SUM(Membership!G79+GA!G79+Education!G79+Events!G80+Communications!G79+Admin!G79)</f>
        <v>0</v>
      </c>
      <c r="H87" s="15">
        <f>SUM(Membership!H79+GA!H79+Education!H79+Events!H80+Communications!H79+Admin!H79)</f>
        <v>0</v>
      </c>
      <c r="I87" s="15">
        <f>SUM(Membership!I79+GA!I79+Education!I79+Events!I80+Communications!I79+Admin!I79)</f>
        <v>0</v>
      </c>
      <c r="J87" s="15">
        <f>SUM(Membership!J79+GA!J79+Education!J79+Events!J80+Communications!J79+Admin!J79)</f>
        <v>0</v>
      </c>
      <c r="K87" s="15">
        <f>SUM(Membership!K79+GA!K79+Education!K79+Events!K80+Communications!K79+Admin!K79)</f>
        <v>0</v>
      </c>
      <c r="L87" s="15">
        <f>SUM(Membership!L79+GA!L79+Education!L79+Events!L80+Communications!L79+Admin!L79)</f>
        <v>0</v>
      </c>
      <c r="M87" s="15">
        <f>SUM(Membership!M79+GA!M79+Education!M79+Events!M80+Communications!M79+Admin!M79)</f>
        <v>0</v>
      </c>
      <c r="N87" s="15">
        <f t="shared" si="15"/>
        <v>0</v>
      </c>
      <c r="O87" s="46"/>
      <c r="P87" s="46"/>
      <c r="Q87" s="46"/>
      <c r="R87" s="125"/>
    </row>
    <row r="88" spans="1:18" ht="14.25" hidden="1" customHeight="1" x14ac:dyDescent="0.25">
      <c r="A88" s="30" t="s">
        <v>155</v>
      </c>
      <c r="B88" s="31">
        <f>SUM(B82:B87)</f>
        <v>0</v>
      </c>
      <c r="C88" s="31">
        <f t="shared" ref="C88:M88" si="16">SUM(C82:C87)</f>
        <v>0</v>
      </c>
      <c r="D88" s="31">
        <f t="shared" si="16"/>
        <v>0</v>
      </c>
      <c r="E88" s="31">
        <f t="shared" si="16"/>
        <v>0</v>
      </c>
      <c r="F88" s="31">
        <f t="shared" si="16"/>
        <v>0</v>
      </c>
      <c r="G88" s="31">
        <f t="shared" si="16"/>
        <v>0</v>
      </c>
      <c r="H88" s="31">
        <f t="shared" si="16"/>
        <v>0</v>
      </c>
      <c r="I88" s="31">
        <f t="shared" si="16"/>
        <v>0</v>
      </c>
      <c r="J88" s="31">
        <f t="shared" si="16"/>
        <v>0</v>
      </c>
      <c r="K88" s="31">
        <f t="shared" si="16"/>
        <v>0</v>
      </c>
      <c r="L88" s="31">
        <f t="shared" si="16"/>
        <v>0</v>
      </c>
      <c r="M88" s="31">
        <f t="shared" si="16"/>
        <v>0</v>
      </c>
      <c r="N88" s="31">
        <f>SUM(B88:M88)</f>
        <v>0</v>
      </c>
      <c r="O88" s="46"/>
      <c r="P88" s="46"/>
      <c r="Q88" s="46"/>
      <c r="R88" s="125"/>
    </row>
    <row r="89" spans="1:18" ht="14.25" hidden="1" customHeight="1" x14ac:dyDescent="0.25">
      <c r="A89" s="16" t="s">
        <v>103</v>
      </c>
      <c r="B89" s="15">
        <f>SUM(Membership!B80+GA!B80+Education!B80+Events!B81+Communications!B80+Admin!B80)</f>
        <v>0</v>
      </c>
      <c r="C89" s="15">
        <f>SUM(Membership!C80+GA!C80+Education!C80+Events!C81+Communications!C80+Admin!C80)</f>
        <v>460</v>
      </c>
      <c r="D89" s="15">
        <f>SUM(Membership!D80+GA!D80+Education!D80+Events!D81+Communications!D80+Admin!D80)</f>
        <v>0</v>
      </c>
      <c r="E89" s="15">
        <f>SUM(Membership!E80+GA!E80+Education!E80+Events!E81+Communications!E80+Admin!E80)</f>
        <v>0</v>
      </c>
      <c r="F89" s="15">
        <f>SUM(Membership!F80+GA!F80+Education!F80+Events!F81+Communications!F80+Admin!F80)</f>
        <v>0</v>
      </c>
      <c r="G89" s="15">
        <f>SUM(Membership!G80+GA!G80+Education!G80+Events!G81+Communications!G80+Admin!G80)</f>
        <v>0</v>
      </c>
      <c r="H89" s="15">
        <f>SUM(Membership!H80+GA!H80+Education!H80+Events!H81+Communications!H80+Admin!H80)</f>
        <v>0</v>
      </c>
      <c r="I89" s="15">
        <f>SUM(Membership!I80+GA!I80+Education!I80+Events!I81+Communications!I80+Admin!I80)</f>
        <v>460</v>
      </c>
      <c r="J89" s="15">
        <f>SUM(Membership!J80+GA!J80+Education!J80+Events!J81+Communications!J80+Admin!J80)</f>
        <v>0</v>
      </c>
      <c r="K89" s="15">
        <f>SUM(Membership!K80+GA!K80+Education!K80+Events!K81+Communications!K80+Admin!K80)</f>
        <v>0</v>
      </c>
      <c r="L89" s="15">
        <f>SUM(Membership!L80+GA!L80+Education!L80+Events!L81+Communications!L80+Admin!L80)</f>
        <v>0</v>
      </c>
      <c r="M89" s="15">
        <f>SUM(Membership!M80+GA!M80+Education!M80+Events!M81+Communications!M80+Admin!M80)</f>
        <v>0</v>
      </c>
      <c r="N89" s="15">
        <f t="shared" si="15"/>
        <v>920</v>
      </c>
      <c r="O89" s="46"/>
      <c r="P89" s="46"/>
      <c r="Q89" s="46"/>
      <c r="R89" s="125"/>
    </row>
    <row r="90" spans="1:18" hidden="1" x14ac:dyDescent="0.25">
      <c r="A90" s="16" t="s">
        <v>104</v>
      </c>
      <c r="B90" s="15">
        <f>SUM(Membership!B81+GA!B81+Education!B81+Events!B82+Communications!B81+Admin!B81)</f>
        <v>0</v>
      </c>
      <c r="C90" s="15">
        <f>SUM(Membership!C81+GA!C81+Education!C81+Events!C82+Communications!C81+Admin!C81)</f>
        <v>0</v>
      </c>
      <c r="D90" s="15">
        <f>SUM(Membership!D81+GA!D81+Education!D81+Events!D82+Communications!D81+Admin!D81)</f>
        <v>1000</v>
      </c>
      <c r="E90" s="15">
        <f>SUM(Membership!E81+GA!E81+Education!E81+Events!E82+Communications!E81+Admin!E81)</f>
        <v>0</v>
      </c>
      <c r="F90" s="15">
        <f>SUM(Membership!F81+GA!F81+Education!F81+Events!F82+Communications!F81+Admin!F81)</f>
        <v>0</v>
      </c>
      <c r="G90" s="15">
        <f>SUM(Membership!G81+GA!G81+Education!G81+Events!G82+Communications!G81+Admin!G81)</f>
        <v>0</v>
      </c>
      <c r="H90" s="15">
        <f>SUM(Membership!H81+GA!H81+Education!H81+Events!H82+Communications!H81+Admin!H81)</f>
        <v>0</v>
      </c>
      <c r="I90" s="15">
        <f>SUM(Membership!I81+GA!I81+Education!I81+Events!I82+Communications!I81+Admin!I81)</f>
        <v>0</v>
      </c>
      <c r="J90" s="15">
        <f>SUM(Membership!J81+GA!J81+Education!J81+Events!J82+Communications!J81+Admin!J81)</f>
        <v>0</v>
      </c>
      <c r="K90" s="15">
        <f>SUM(Membership!K81+GA!K81+Education!K81+Events!K82+Communications!K81+Admin!K81)</f>
        <v>0</v>
      </c>
      <c r="L90" s="15">
        <f>SUM(Membership!L81+GA!L81+Education!L81+Events!L82+Communications!L81+Admin!L81)</f>
        <v>0</v>
      </c>
      <c r="M90" s="15">
        <f>SUM(Membership!M81+GA!M81+Education!M81+Events!M82+Communications!M81+Admin!M81)</f>
        <v>0</v>
      </c>
      <c r="N90" s="15">
        <f t="shared" si="15"/>
        <v>1000</v>
      </c>
      <c r="O90" s="46">
        <f>495+500</f>
        <v>995</v>
      </c>
      <c r="P90" s="46">
        <f>1000</f>
        <v>1000</v>
      </c>
      <c r="Q90" s="46">
        <f>N90-O90</f>
        <v>5</v>
      </c>
      <c r="R90" s="125"/>
    </row>
    <row r="91" spans="1:18" ht="14.25" hidden="1" customHeight="1" x14ac:dyDescent="0.25">
      <c r="A91" s="16" t="s">
        <v>105</v>
      </c>
      <c r="B91" s="15">
        <f>SUM(Membership!B82+GA!B82+Education!B82+Events!B83+Communications!B82+Admin!B82)</f>
        <v>0</v>
      </c>
      <c r="C91" s="15">
        <f>SUM(Membership!C82+GA!C82+Education!C82+Events!C83+Communications!C82+Admin!C82)</f>
        <v>0</v>
      </c>
      <c r="D91" s="15">
        <f>SUM(Membership!D82+GA!D82+Education!D82+Events!D83+Communications!D82+Admin!D82)</f>
        <v>0</v>
      </c>
      <c r="E91" s="15">
        <f>SUM(Membership!E82+GA!E82+Education!E82+Events!E83+Communications!E82+Admin!E82)</f>
        <v>0</v>
      </c>
      <c r="F91" s="15">
        <f>SUM(Membership!F82+GA!F82+Education!F82+Events!F83+Communications!F82+Admin!F82)</f>
        <v>0</v>
      </c>
      <c r="G91" s="15">
        <f>SUM(Membership!G82+GA!G82+Education!G82+Events!G83+Communications!G82+Admin!G82)</f>
        <v>0</v>
      </c>
      <c r="H91" s="15">
        <f>SUM(Membership!H82+GA!H82+Education!H82+Events!H83+Communications!H82+Admin!H82)</f>
        <v>0</v>
      </c>
      <c r="I91" s="15">
        <f>SUM(Membership!I82+GA!I82+Education!I82+Events!I83+Communications!I82+Admin!I82)</f>
        <v>0</v>
      </c>
      <c r="J91" s="15">
        <f>SUM(Membership!J82+GA!J82+Education!J82+Events!J83+Communications!J82+Admin!J82)</f>
        <v>0</v>
      </c>
      <c r="K91" s="15">
        <f>SUM(Membership!K82+GA!K82+Education!K82+Events!K83+Communications!K82+Admin!K82)</f>
        <v>0</v>
      </c>
      <c r="L91" s="15">
        <f>SUM(Membership!L82+GA!L82+Education!L82+Events!L83+Communications!L82+Admin!L82)</f>
        <v>0</v>
      </c>
      <c r="M91" s="15">
        <f>SUM(Membership!M82+GA!M82+Education!M82+Events!M83+Communications!M82+Admin!M82)</f>
        <v>0</v>
      </c>
      <c r="N91" s="15">
        <f t="shared" si="15"/>
        <v>0</v>
      </c>
      <c r="O91" s="46"/>
      <c r="P91" s="46"/>
      <c r="Q91" s="46"/>
      <c r="R91" s="125"/>
    </row>
    <row r="92" spans="1:18" ht="14.25" hidden="1" customHeight="1" x14ac:dyDescent="0.25">
      <c r="A92" s="16" t="s">
        <v>106</v>
      </c>
      <c r="B92" s="15">
        <f>SUM(Membership!B83+GA!B83+Education!B83+Events!B84+Communications!B83+Admin!B83)</f>
        <v>0</v>
      </c>
      <c r="C92" s="15">
        <f>SUM(Membership!C83+GA!C83+Education!C83+Events!C84+Communications!C83+Admin!C83)</f>
        <v>0</v>
      </c>
      <c r="D92" s="15">
        <f>SUM(Membership!D83+GA!D83+Education!D83+Events!D84+Communications!D83+Admin!D83)</f>
        <v>0</v>
      </c>
      <c r="E92" s="15">
        <f>SUM(Membership!E83+GA!E83+Education!E83+Events!E84+Communications!E83+Admin!E83)</f>
        <v>0</v>
      </c>
      <c r="F92" s="15">
        <f>SUM(Membership!F83+GA!F83+Education!F83+Events!F84+Communications!F83+Admin!F83)</f>
        <v>0</v>
      </c>
      <c r="G92" s="15">
        <f>SUM(Membership!G83+GA!G83+Education!G83+Events!G84+Communications!G83+Admin!G83)</f>
        <v>0</v>
      </c>
      <c r="H92" s="15">
        <f>SUM(Membership!H83+GA!H83+Education!H83+Events!H84+Communications!H83+Admin!H83)</f>
        <v>0</v>
      </c>
      <c r="I92" s="15">
        <f>SUM(Membership!I83+GA!I83+Education!I83+Events!I84+Communications!I83+Admin!I83)</f>
        <v>0</v>
      </c>
      <c r="J92" s="15">
        <f>SUM(Membership!J83+GA!J83+Education!J83+Events!J84+Communications!J83+Admin!J83)</f>
        <v>0</v>
      </c>
      <c r="K92" s="15">
        <f>SUM(Membership!K83+GA!K83+Education!K83+Events!K84+Communications!K83+Admin!K83)</f>
        <v>0</v>
      </c>
      <c r="L92" s="15">
        <f>SUM(Membership!L83+GA!L83+Education!L83+Events!L84+Communications!L83+Admin!L83)</f>
        <v>0</v>
      </c>
      <c r="M92" s="15">
        <f>SUM(Membership!M83+GA!M83+Education!M83+Events!M84+Communications!M83+Admin!M83)</f>
        <v>0</v>
      </c>
      <c r="N92" s="15">
        <f t="shared" si="15"/>
        <v>0</v>
      </c>
      <c r="O92" s="46"/>
      <c r="P92" s="46"/>
      <c r="Q92" s="46"/>
      <c r="R92" s="125"/>
    </row>
    <row r="93" spans="1:18" ht="14.25" hidden="1" customHeight="1" x14ac:dyDescent="0.25">
      <c r="A93" s="16" t="s">
        <v>107</v>
      </c>
      <c r="B93" s="15">
        <f>SUM(Membership!B84+GA!B84+Education!B84+Events!B85+Communications!B84+Admin!B84)</f>
        <v>0</v>
      </c>
      <c r="C93" s="15">
        <f>SUM(Membership!C84+GA!C84+Education!C84+Events!C85+Communications!C84+Admin!C84)</f>
        <v>0</v>
      </c>
      <c r="D93" s="15">
        <f>SUM(Membership!D84+GA!D84+Education!D84+Events!D85+Communications!D84+Admin!D84)</f>
        <v>0</v>
      </c>
      <c r="E93" s="15">
        <f>SUM(Membership!E84+GA!E84+Education!E84+Events!E85+Communications!E84+Admin!E84)</f>
        <v>0</v>
      </c>
      <c r="F93" s="15">
        <f>SUM(Membership!F84+GA!F84+Education!F84+Events!F85+Communications!F84+Admin!F84)</f>
        <v>0</v>
      </c>
      <c r="G93" s="15">
        <f>SUM(Membership!G84+GA!G84+Education!G84+Events!G85+Communications!G84+Admin!G84)</f>
        <v>0</v>
      </c>
      <c r="H93" s="15">
        <f>SUM(Membership!H84+GA!H84+Education!H84+Events!H85+Communications!H84+Admin!H84)</f>
        <v>0</v>
      </c>
      <c r="I93" s="15">
        <f>SUM(Membership!I84+GA!I84+Education!I84+Events!I85+Communications!I84+Admin!I84)</f>
        <v>0</v>
      </c>
      <c r="J93" s="15">
        <f>SUM(Membership!J84+GA!J84+Education!J84+Events!J85+Communications!J84+Admin!J84)</f>
        <v>0</v>
      </c>
      <c r="K93" s="15">
        <f>SUM(Membership!K84+GA!K84+Education!K84+Events!K85+Communications!K84+Admin!K84)</f>
        <v>0</v>
      </c>
      <c r="L93" s="15">
        <f>SUM(Membership!L84+GA!L84+Education!L84+Events!L85+Communications!L84+Admin!L84)</f>
        <v>0</v>
      </c>
      <c r="M93" s="15">
        <f>SUM(Membership!M84+GA!M84+Education!M84+Events!M85+Communications!M84+Admin!M84)</f>
        <v>0</v>
      </c>
      <c r="N93" s="15">
        <f t="shared" si="15"/>
        <v>0</v>
      </c>
      <c r="O93" s="46"/>
      <c r="P93" s="46"/>
      <c r="Q93" s="46"/>
      <c r="R93" s="125"/>
    </row>
    <row r="94" spans="1:18" ht="27" hidden="1" customHeight="1" x14ac:dyDescent="0.25">
      <c r="A94" s="51" t="s">
        <v>108</v>
      </c>
      <c r="B94" s="52">
        <f>SUM(Membership!B85+GA!B85+Education!B85+Events!B86+Communications!B85+Admin!B85)</f>
        <v>250</v>
      </c>
      <c r="C94" s="52">
        <f>SUM(Membership!C85+GA!C85+Education!C85+Events!C86+Communications!C85+Admin!C85)</f>
        <v>250</v>
      </c>
      <c r="D94" s="52">
        <f>SUM(Membership!D85+GA!D85+Education!D85+Events!D86+Communications!D85+Admin!D85)</f>
        <v>250</v>
      </c>
      <c r="E94" s="52">
        <f>SUM(Membership!E85+GA!E85+Education!E85+Events!E86+Communications!E85+Admin!E85)</f>
        <v>250</v>
      </c>
      <c r="F94" s="52">
        <f>SUM(Membership!F85+GA!F85+Education!F85+Events!F86+Communications!F85+Admin!F85)</f>
        <v>250</v>
      </c>
      <c r="G94" s="52">
        <f>SUM(Membership!G85+GA!G85+Education!G85+Events!G86+Communications!G85+Admin!G85)</f>
        <v>250</v>
      </c>
      <c r="H94" s="52">
        <f>SUM(Membership!H85+GA!H85+Education!H85+Events!H86+Communications!H85+Admin!H85)</f>
        <v>250</v>
      </c>
      <c r="I94" s="52">
        <f>SUM(Membership!I85+GA!I85+Education!I85+Events!I86+Communications!I85+Admin!I85)</f>
        <v>250</v>
      </c>
      <c r="J94" s="52">
        <f>SUM(Membership!J85+GA!J85+Education!J85+Events!J86+Communications!J85+Admin!J85)</f>
        <v>250</v>
      </c>
      <c r="K94" s="52">
        <f>SUM(Membership!K85+GA!K85+Education!K85+Events!K86+Communications!K85+Admin!K85)</f>
        <v>1250</v>
      </c>
      <c r="L94" s="52">
        <f>SUM(Membership!L85+GA!L85+Education!L85+Events!L86+Communications!L85+Admin!L85)</f>
        <v>250</v>
      </c>
      <c r="M94" s="52">
        <f>SUM(Membership!M85+GA!M85+Education!M85+Events!M86+Communications!M85+Admin!M85)</f>
        <v>250</v>
      </c>
      <c r="N94" s="52">
        <f t="shared" si="15"/>
        <v>4000</v>
      </c>
      <c r="O94" s="53">
        <f>36670.27+5200+5000+500</f>
        <v>47370.27</v>
      </c>
      <c r="P94" s="53">
        <f>53450</f>
        <v>53450</v>
      </c>
      <c r="Q94" s="53">
        <f>N94-O94</f>
        <v>-43370.27</v>
      </c>
      <c r="R94" s="128" t="s">
        <v>201</v>
      </c>
    </row>
    <row r="95" spans="1:18" ht="32.25" hidden="1" customHeight="1" x14ac:dyDescent="0.25">
      <c r="A95" s="51" t="s">
        <v>109</v>
      </c>
      <c r="B95" s="52">
        <f>SUM(Membership!B86+GA!B86+Education!B86+Events!B87+Communications!B86+Admin!B86)</f>
        <v>60</v>
      </c>
      <c r="C95" s="52">
        <f>SUM(Membership!C86+GA!C86+Education!C86+Events!C87+Communications!C86+Admin!C86)</f>
        <v>60</v>
      </c>
      <c r="D95" s="52">
        <f>SUM(Membership!D86+GA!D86+Education!D86+Events!D87+Communications!D86+Admin!D86)</f>
        <v>60</v>
      </c>
      <c r="E95" s="52">
        <f>SUM(Membership!E86+GA!E86+Education!E86+Events!E87+Communications!E86+Admin!E86)</f>
        <v>60</v>
      </c>
      <c r="F95" s="52">
        <f>SUM(Membership!F86+GA!F86+Education!F86+Events!F87+Communications!F86+Admin!F86)</f>
        <v>60</v>
      </c>
      <c r="G95" s="52">
        <f>SUM(Membership!G86+GA!G86+Education!G86+Events!G87+Communications!G86+Admin!G86)</f>
        <v>60</v>
      </c>
      <c r="H95" s="52">
        <f>SUM(Membership!H86+GA!H86+Education!H86+Events!H87+Communications!H86+Admin!H86)</f>
        <v>60</v>
      </c>
      <c r="I95" s="52">
        <f>SUM(Membership!I86+GA!I86+Education!I86+Events!I87+Communications!I86+Admin!I86)</f>
        <v>60</v>
      </c>
      <c r="J95" s="52">
        <f>SUM(Membership!J86+GA!J86+Education!J86+Events!J87+Communications!J86+Admin!J86)</f>
        <v>60</v>
      </c>
      <c r="K95" s="52">
        <f>SUM(Membership!K86+GA!K86+Education!K86+Events!K87+Communications!K86+Admin!K86)</f>
        <v>60</v>
      </c>
      <c r="L95" s="52">
        <f>SUM(Membership!L86+GA!L86+Education!L86+Events!L87+Communications!L86+Admin!L86)</f>
        <v>60</v>
      </c>
      <c r="M95" s="52">
        <f>SUM(Membership!M86+GA!M86+Education!M86+Events!M87+Communications!M86+Admin!M86)</f>
        <v>60</v>
      </c>
      <c r="N95" s="52">
        <f t="shared" si="15"/>
        <v>720</v>
      </c>
      <c r="O95" s="53">
        <f>7466.64</f>
        <v>7466.64</v>
      </c>
      <c r="P95" s="53">
        <f>6926</f>
        <v>6926</v>
      </c>
      <c r="Q95" s="53">
        <f>N95-O95</f>
        <v>-6746.64</v>
      </c>
      <c r="R95" s="128" t="s">
        <v>200</v>
      </c>
    </row>
    <row r="96" spans="1:18" ht="14.25" hidden="1" customHeight="1" x14ac:dyDescent="0.25">
      <c r="A96" s="16" t="s">
        <v>110</v>
      </c>
      <c r="B96" s="15">
        <f>SUM(Membership!B87+GA!B87+Education!B87+Events!B88+Communications!B87+Admin!B87)</f>
        <v>0</v>
      </c>
      <c r="C96" s="15">
        <f>SUM(Membership!C87+GA!C87+Education!C87+Events!C88+Communications!C87+Admin!C87)</f>
        <v>0</v>
      </c>
      <c r="D96" s="15">
        <f>SUM(Membership!D87+GA!D87+Education!D87+Events!D88+Communications!D87+Admin!D87)</f>
        <v>0</v>
      </c>
      <c r="E96" s="15">
        <f>SUM(Membership!E87+GA!E87+Education!E87+Events!E88+Communications!E87+Admin!E87)</f>
        <v>0</v>
      </c>
      <c r="F96" s="15">
        <f>SUM(Membership!F87+GA!F87+Education!F87+Events!F88+Communications!F87+Admin!F87)</f>
        <v>0</v>
      </c>
      <c r="G96" s="15">
        <f>SUM(Membership!G87+GA!G87+Education!G87+Events!G88+Communications!G87+Admin!G87)</f>
        <v>0</v>
      </c>
      <c r="H96" s="15">
        <f>SUM(Membership!H87+GA!H87+Education!H87+Events!H88+Communications!H87+Admin!H87)</f>
        <v>0</v>
      </c>
      <c r="I96" s="15">
        <f>SUM(Membership!I87+GA!I87+Education!I87+Events!I88+Communications!I87+Admin!I87)</f>
        <v>0</v>
      </c>
      <c r="J96" s="15">
        <f>SUM(Membership!J87+GA!J87+Education!J87+Events!J88+Communications!J87+Admin!J87)</f>
        <v>0</v>
      </c>
      <c r="K96" s="15">
        <f>SUM(Membership!K87+GA!K87+Education!K87+Events!K88+Communications!K87+Admin!K87)</f>
        <v>0</v>
      </c>
      <c r="L96" s="15">
        <f>SUM(Membership!L87+GA!L87+Education!L87+Events!L88+Communications!L87+Admin!L87)</f>
        <v>0</v>
      </c>
      <c r="M96" s="15">
        <f>SUM(Membership!M87+GA!M87+Education!M87+Events!M88+Communications!M87+Admin!M87)</f>
        <v>0</v>
      </c>
      <c r="N96" s="15">
        <f t="shared" si="15"/>
        <v>0</v>
      </c>
      <c r="O96" s="46"/>
      <c r="P96" s="46"/>
      <c r="Q96" s="46"/>
      <c r="R96" s="125"/>
    </row>
    <row r="97" spans="1:18" ht="14.25" hidden="1" customHeight="1" x14ac:dyDescent="0.25">
      <c r="A97" s="16" t="s">
        <v>111</v>
      </c>
      <c r="B97" s="17">
        <v>0</v>
      </c>
      <c r="C97" s="15">
        <f>SUM(Membership!C88+GA!C88+Education!C88+Events!C89+Communications!C88+Admin!C88)</f>
        <v>0</v>
      </c>
      <c r="D97" s="15">
        <f>SUM(Membership!D88+GA!D88+Education!D88+Events!D89+Communications!D88+Admin!D88)</f>
        <v>0</v>
      </c>
      <c r="E97" s="15">
        <f>SUM(Membership!E88+GA!E88+Education!E88+Events!E89+Communications!E88+Admin!E88)</f>
        <v>0</v>
      </c>
      <c r="F97" s="15">
        <f>SUM(Membership!F88+GA!F88+Education!F88+Events!F89+Communications!F88+Admin!F88)</f>
        <v>0</v>
      </c>
      <c r="G97" s="15">
        <f>SUM(Membership!G88+GA!G88+Education!G88+Events!G89+Communications!G88+Admin!G88)</f>
        <v>0</v>
      </c>
      <c r="H97" s="15">
        <f>SUM(Membership!H88+GA!H88+Education!H88+Events!H89+Communications!H88+Admin!H88)</f>
        <v>0</v>
      </c>
      <c r="I97" s="15">
        <f>SUM(Membership!I88+GA!I88+Education!I88+Events!I89+Communications!I88+Admin!I88)</f>
        <v>0</v>
      </c>
      <c r="J97" s="15">
        <f>SUM(Membership!J88+GA!J88+Education!J88+Events!J89+Communications!J88+Admin!J88)</f>
        <v>0</v>
      </c>
      <c r="K97" s="15">
        <f>SUM(Membership!K88+GA!K88+Education!K88+Events!K89+Communications!K88+Admin!K88)</f>
        <v>0</v>
      </c>
      <c r="L97" s="15">
        <f>SUM(Membership!L88+GA!L88+Education!L88+Events!L89+Communications!L88+Admin!L88)</f>
        <v>0</v>
      </c>
      <c r="M97" s="15">
        <f>SUM(Membership!M88+GA!M88+Education!M88+Events!M89+Communications!M88+Admin!M88)</f>
        <v>0</v>
      </c>
      <c r="N97" s="15">
        <f t="shared" si="15"/>
        <v>0</v>
      </c>
      <c r="O97" s="46"/>
      <c r="P97" s="46"/>
      <c r="Q97" s="46"/>
      <c r="R97" s="125"/>
    </row>
    <row r="98" spans="1:18" ht="14.25" hidden="1" customHeight="1" x14ac:dyDescent="0.25">
      <c r="A98" s="16" t="s">
        <v>112</v>
      </c>
      <c r="B98" s="15">
        <f>SUM(Membership!B89+GA!B88+Education!B89+Events!B90+Communications!B89+Admin!B89)</f>
        <v>0</v>
      </c>
      <c r="C98" s="15">
        <f>SUM(Membership!C89+GA!C89+Education!C89+Events!C90+Communications!C89+Admin!C89)</f>
        <v>548</v>
      </c>
      <c r="D98" s="15">
        <f>SUM(Membership!D89+GA!D89+Education!D89+Events!D90+Communications!D89+Admin!D89)</f>
        <v>673</v>
      </c>
      <c r="E98" s="15">
        <f>SUM(Membership!E89+GA!E89+Education!E89+Events!E90+Communications!E89+Admin!E89)</f>
        <v>773</v>
      </c>
      <c r="F98" s="15">
        <f>SUM(Membership!F89+GA!F89+Education!F89+Events!F90+Communications!F89+Admin!F89)</f>
        <v>423</v>
      </c>
      <c r="G98" s="15">
        <f>SUM(Membership!G89+GA!G89+Education!G89+Events!G90+Communications!G89+Admin!G89)</f>
        <v>423</v>
      </c>
      <c r="H98" s="15">
        <f>SUM(Membership!H89+GA!H89+Education!H89+Events!H90+Communications!H89+Admin!H89)</f>
        <v>423</v>
      </c>
      <c r="I98" s="15">
        <f>SUM(Membership!I89+GA!I89+Education!I89+Events!I90+Communications!I89+Admin!I89)</f>
        <v>548</v>
      </c>
      <c r="J98" s="15">
        <f>SUM(Membership!J89+GA!J89+Education!J89+Events!J90+Communications!J89+Admin!J89)</f>
        <v>923</v>
      </c>
      <c r="K98" s="15">
        <f>SUM(Membership!K89+GA!K89+Education!K89+Events!K90+Communications!K89+Admin!K89)</f>
        <v>923</v>
      </c>
      <c r="L98" s="15">
        <f>SUM(Membership!L89+GA!L89+Education!L89+Events!L90+Communications!L89+Admin!L89)</f>
        <v>548</v>
      </c>
      <c r="M98" s="15">
        <f>SUM(Membership!M89+GA!M89+Education!M89+Events!M90+Communications!M89+Admin!M89)</f>
        <v>423</v>
      </c>
      <c r="N98" s="15">
        <f t="shared" si="15"/>
        <v>6628</v>
      </c>
      <c r="O98" s="46">
        <f>133.07+2500</f>
        <v>2633.07</v>
      </c>
      <c r="P98" s="46">
        <f>3075</f>
        <v>3075</v>
      </c>
      <c r="Q98" s="46">
        <f>N98-O98</f>
        <v>3994.93</v>
      </c>
      <c r="R98" s="125"/>
    </row>
    <row r="99" spans="1:18" ht="14.25" hidden="1" customHeight="1" x14ac:dyDescent="0.25">
      <c r="A99" s="16" t="s">
        <v>113</v>
      </c>
      <c r="B99" s="15">
        <f>SUM(Membership!B90+GA!B90+Education!B90+Events!B91+Communications!B90+Admin!B90)</f>
        <v>0</v>
      </c>
      <c r="C99" s="15">
        <f>SUM(Membership!C90+GA!C90+Education!C90+Events!C91+Communications!C90+Admin!C90)</f>
        <v>0</v>
      </c>
      <c r="D99" s="15">
        <f>SUM(Membership!D90+GA!D90+Education!D90+Events!D91+Communications!D90+Admin!D90)</f>
        <v>0</v>
      </c>
      <c r="E99" s="15">
        <f>SUM(Membership!E90+GA!E90+Education!E90+Events!E91+Communications!E90+Admin!E90)</f>
        <v>0</v>
      </c>
      <c r="F99" s="15">
        <f>SUM(Membership!F90+GA!F90+Education!F90+Events!F91+Communications!F90+Admin!F90)</f>
        <v>0</v>
      </c>
      <c r="G99" s="15">
        <f>SUM(Membership!G90+GA!G90+Education!G90+Events!G91+Communications!G90+Admin!G90)</f>
        <v>0</v>
      </c>
      <c r="H99" s="15">
        <f>SUM(Membership!H90+GA!H90+Education!H90+Events!H91+Communications!H90+Admin!H90)</f>
        <v>0</v>
      </c>
      <c r="I99" s="15">
        <f>SUM(Membership!I90+GA!I90+Education!I90+Events!I91+Communications!I90+Admin!I90)</f>
        <v>0</v>
      </c>
      <c r="J99" s="15">
        <f>SUM(Membership!J90+GA!J90+Education!J90+Events!J91+Communications!J90+Admin!J90)</f>
        <v>0</v>
      </c>
      <c r="K99" s="15">
        <f>SUM(Membership!K90+GA!K90+Education!K90+Events!K91+Communications!K90+Admin!K90)</f>
        <v>0</v>
      </c>
      <c r="L99" s="15">
        <f>SUM(Membership!L90+GA!L90+Education!L90+Events!L91+Communications!L90+Admin!L90)</f>
        <v>0</v>
      </c>
      <c r="M99" s="15">
        <f>SUM(Membership!M90+GA!M90+Education!M90+Events!M91+Communications!M90+Admin!M90)</f>
        <v>0</v>
      </c>
      <c r="N99" s="15">
        <f t="shared" si="15"/>
        <v>0</v>
      </c>
      <c r="O99" s="46"/>
      <c r="P99" s="46"/>
      <c r="Q99" s="46"/>
      <c r="R99" s="125"/>
    </row>
    <row r="100" spans="1:18" ht="14.25" customHeight="1" x14ac:dyDescent="0.25">
      <c r="A100" s="16" t="s">
        <v>114</v>
      </c>
      <c r="B100" s="15">
        <f>SUM(Membership!B91+GA!B91+Education!B91+Events!B92+Communications!B91+Admin!B91)</f>
        <v>6575</v>
      </c>
      <c r="C100" s="15">
        <f>SUM(Membership!C91+GA!C91+Education!C91+Events!C92+Communications!C91+Admin!C91)</f>
        <v>6575</v>
      </c>
      <c r="D100" s="15">
        <f>SUM(Membership!D91+GA!D91+Education!D91+Events!D92+Communications!D91+Admin!D91)</f>
        <v>6575</v>
      </c>
      <c r="E100" s="15">
        <f>SUM(Membership!E91+GA!E91+Education!E91+Events!E92+Communications!E91+Admin!E91)</f>
        <v>6575</v>
      </c>
      <c r="F100" s="15">
        <f>SUM(Membership!F91+GA!F91+Education!F91+Events!F92+Communications!F91+Admin!F91)</f>
        <v>6575</v>
      </c>
      <c r="G100" s="15">
        <f>SUM(Membership!G91+GA!G91+Education!G91+Events!G92+Communications!G91+Admin!G91)</f>
        <v>6575</v>
      </c>
      <c r="H100" s="15">
        <f>SUM(Membership!H91+GA!H91+Education!H91+Events!H92+Communications!H91+Admin!H91)</f>
        <v>6575</v>
      </c>
      <c r="I100" s="15">
        <f>SUM(Membership!I91+GA!I91+Education!I91+Events!I92+Communications!I91+Admin!I91)</f>
        <v>6575</v>
      </c>
      <c r="J100" s="15">
        <f>SUM(Membership!J91+GA!J91+Education!J91+Events!J92+Communications!J91+Admin!J91)</f>
        <v>6575</v>
      </c>
      <c r="K100" s="15">
        <f>SUM(Membership!K91+GA!K91+Education!K91+Events!K92+Communications!K91+Admin!K91)</f>
        <v>6575</v>
      </c>
      <c r="L100" s="15">
        <f>SUM(Membership!L91+GA!L91+Education!L91+Events!L92+Communications!L91+Admin!L91)</f>
        <v>6575</v>
      </c>
      <c r="M100" s="15">
        <f>SUM(Membership!M91+GA!M91+Education!M91+Events!M92+Communications!M91+Admin!M91)</f>
        <v>6575</v>
      </c>
      <c r="N100" s="15">
        <f t="shared" si="15"/>
        <v>78900</v>
      </c>
      <c r="O100" s="46">
        <f>72193.56</f>
        <v>72193.56</v>
      </c>
      <c r="P100" s="46">
        <f>80360.04</f>
        <v>80360.039999999994</v>
      </c>
      <c r="Q100" s="46">
        <f>N100-O100</f>
        <v>6706.4400000000023</v>
      </c>
      <c r="R100" s="125"/>
    </row>
    <row r="101" spans="1:18" ht="14.25" hidden="1" customHeight="1" x14ac:dyDescent="0.25">
      <c r="A101" s="16" t="s">
        <v>115</v>
      </c>
      <c r="B101" s="15">
        <f>SUM(Membership!B92+GA!B92+Education!B92+Events!B93+Communications!B92+Admin!B92)</f>
        <v>0</v>
      </c>
      <c r="C101" s="15">
        <f>SUM(Membership!C92+GA!C92+Education!C92+Events!C93+Communications!C92+Admin!C92)</f>
        <v>0</v>
      </c>
      <c r="D101" s="15">
        <f>SUM(Membership!D92+GA!D92+Education!D92+Events!D93+Communications!D92+Admin!D92)</f>
        <v>0</v>
      </c>
      <c r="E101" s="15">
        <f>SUM(Membership!E92+GA!E92+Education!E92+Events!E93+Communications!E92+Admin!E92)</f>
        <v>0</v>
      </c>
      <c r="F101" s="15">
        <f>SUM(Membership!F92+GA!F92+Education!F92+Events!F93+Communications!F92+Admin!F92)</f>
        <v>0</v>
      </c>
      <c r="G101" s="15">
        <f>SUM(Membership!G92+GA!G92+Education!G92+Events!G93+Communications!G92+Admin!G92)</f>
        <v>0</v>
      </c>
      <c r="H101" s="15">
        <f>SUM(Membership!H92+GA!H92+Education!H92+Events!H93+Communications!H92+Admin!H92)</f>
        <v>0</v>
      </c>
      <c r="I101" s="15">
        <f>SUM(Membership!I92+GA!I92+Education!I92+Events!I93+Communications!I92+Admin!I92)</f>
        <v>0</v>
      </c>
      <c r="J101" s="15">
        <f>SUM(Membership!J92+GA!J92+Education!J92+Events!J93+Communications!J92+Admin!J92)</f>
        <v>0</v>
      </c>
      <c r="K101" s="15">
        <f>SUM(Membership!K92+GA!K92+Education!K92+Events!K93+Communications!K92+Admin!K92)</f>
        <v>0</v>
      </c>
      <c r="L101" s="15">
        <f>SUM(Membership!L92+GA!L92+Education!L92+Events!L93+Communications!L92+Admin!L92)</f>
        <v>0</v>
      </c>
      <c r="M101" s="15">
        <f>SUM(Membership!M92+GA!M92+Education!M92+Events!M93+Communications!M92+Admin!M92)</f>
        <v>0</v>
      </c>
      <c r="N101" s="15">
        <f t="shared" si="15"/>
        <v>0</v>
      </c>
      <c r="O101" s="46"/>
      <c r="P101" s="46"/>
      <c r="Q101" s="46"/>
      <c r="R101" s="125"/>
    </row>
    <row r="102" spans="1:18" ht="14.25" hidden="1" customHeight="1" x14ac:dyDescent="0.25">
      <c r="A102" s="16" t="s">
        <v>116</v>
      </c>
      <c r="B102" s="15">
        <f>SUM(Membership!B93+GA!B93+Education!B93+Events!B94+Communications!B93+Admin!B93)</f>
        <v>0</v>
      </c>
      <c r="C102" s="15">
        <f>SUM(Membership!C93+GA!C93+Education!C93+Events!C94+Communications!C93+Admin!C93)</f>
        <v>0</v>
      </c>
      <c r="D102" s="15">
        <f>SUM(Membership!D93+GA!D93+Education!D93+Events!D94+Communications!D93+Admin!D93)</f>
        <v>0</v>
      </c>
      <c r="E102" s="15">
        <f>SUM(Membership!E93+GA!E93+Education!E93+Events!E94+Communications!E93+Admin!E93)</f>
        <v>0</v>
      </c>
      <c r="F102" s="15">
        <f>SUM(Membership!F93+GA!F93+Education!F93+Events!F94+Communications!F93+Admin!F93)</f>
        <v>0</v>
      </c>
      <c r="G102" s="15">
        <f>SUM(Membership!G93+GA!G93+Education!G93+Events!G94+Communications!G93+Admin!G93)</f>
        <v>0</v>
      </c>
      <c r="H102" s="15">
        <f>SUM(Membership!H93+GA!H93+Education!H93+Events!H94+Communications!H93+Admin!H93)</f>
        <v>0</v>
      </c>
      <c r="I102" s="15">
        <f>SUM(Membership!I93+GA!I93+Education!I93+Events!I94+Communications!I93+Admin!I93)</f>
        <v>0</v>
      </c>
      <c r="J102" s="15">
        <f>SUM(Membership!J93+GA!J93+Education!J93+Events!J94+Communications!J93+Admin!J93)</f>
        <v>0</v>
      </c>
      <c r="K102" s="15">
        <f>SUM(Membership!K93+GA!K93+Education!K93+Events!K94+Communications!K93+Admin!K93)</f>
        <v>0</v>
      </c>
      <c r="L102" s="15">
        <f>SUM(Membership!L93+GA!L93+Education!L93+Events!L94+Communications!L93+Admin!L93)</f>
        <v>0</v>
      </c>
      <c r="M102" s="15">
        <f>SUM(Membership!M93+GA!M93+Education!M93+Events!M94+Communications!M93+Admin!M93)</f>
        <v>0</v>
      </c>
      <c r="N102" s="15">
        <f t="shared" si="15"/>
        <v>0</v>
      </c>
      <c r="O102" s="46"/>
      <c r="P102" s="46"/>
      <c r="Q102" s="46"/>
      <c r="R102" s="125"/>
    </row>
    <row r="103" spans="1:18" ht="14.25" hidden="1" customHeight="1" x14ac:dyDescent="0.25">
      <c r="A103" s="16" t="s">
        <v>117</v>
      </c>
      <c r="B103" s="15">
        <f>SUM(Membership!B94+GA!B94+Education!B94+Events!B95+Communications!B94+Admin!B94)</f>
        <v>0</v>
      </c>
      <c r="C103" s="15">
        <f>SUM(Membership!C94+GA!C94+Education!C94+Events!C95+Communications!C94+Admin!C94)</f>
        <v>0</v>
      </c>
      <c r="D103" s="15">
        <f>SUM(Membership!D94+GA!D94+Education!D94+Events!D95+Communications!D94+Admin!D94)</f>
        <v>0</v>
      </c>
      <c r="E103" s="15">
        <f>SUM(Membership!E94+GA!E94+Education!E94+Events!E95+Communications!E94+Admin!E94)</f>
        <v>0</v>
      </c>
      <c r="F103" s="15">
        <f>SUM(Membership!F94+GA!F94+Education!F94+Events!F95+Communications!F94+Admin!F94)</f>
        <v>0</v>
      </c>
      <c r="G103" s="15">
        <f>SUM(Membership!G94+GA!G94+Education!G94+Events!G95+Communications!G94+Admin!G94)</f>
        <v>0</v>
      </c>
      <c r="H103" s="15">
        <f>SUM(Membership!H94+GA!H94+Education!H94+Events!H95+Communications!H94+Admin!H94)</f>
        <v>0</v>
      </c>
      <c r="I103" s="15">
        <f>SUM(Membership!I94+GA!I94+Education!I94+Events!I95+Communications!I94+Admin!I94)</f>
        <v>0</v>
      </c>
      <c r="J103" s="15">
        <f>SUM(Membership!J94+GA!J94+Education!J94+Events!J95+Communications!J94+Admin!J94)</f>
        <v>0</v>
      </c>
      <c r="K103" s="15">
        <f>SUM(Membership!K94+GA!K94+Education!K94+Events!K95+Communications!K94+Admin!K94)</f>
        <v>0</v>
      </c>
      <c r="L103" s="15">
        <f>SUM(Membership!L94+GA!L94+Education!L94+Events!L95+Communications!L94+Admin!L94)</f>
        <v>0</v>
      </c>
      <c r="M103" s="15">
        <f>SUM(Membership!M94+GA!M94+Education!M94+Events!M95+Communications!M94+Admin!M94)</f>
        <v>0</v>
      </c>
      <c r="N103" s="15">
        <f t="shared" si="15"/>
        <v>0</v>
      </c>
      <c r="O103" s="46"/>
      <c r="P103" s="46"/>
      <c r="Q103" s="46"/>
      <c r="R103" s="125"/>
    </row>
    <row r="104" spans="1:18" ht="14.25" hidden="1" customHeight="1" x14ac:dyDescent="0.25">
      <c r="A104" s="16" t="s">
        <v>118</v>
      </c>
      <c r="B104" s="15">
        <f>SUM(Membership!B95+GA!B95+Education!B95+Events!B96+Communications!B95+Admin!B95)</f>
        <v>0</v>
      </c>
      <c r="C104" s="15">
        <f>SUM(Membership!C95+GA!C95+Education!C95+Events!C96+Communications!C95+Admin!C95)</f>
        <v>0</v>
      </c>
      <c r="D104" s="15">
        <f>SUM(Membership!D95+GA!D95+Education!D95+Events!D96+Communications!D95+Admin!D95)</f>
        <v>0</v>
      </c>
      <c r="E104" s="15">
        <f>SUM(Membership!E95+GA!E95+Education!E95+Events!E96+Communications!E95+Admin!E95)</f>
        <v>0</v>
      </c>
      <c r="F104" s="15">
        <f>SUM(Membership!F95+GA!F95+Education!F95+Events!F96+Communications!F95+Admin!F95)</f>
        <v>0</v>
      </c>
      <c r="G104" s="15">
        <f>SUM(Membership!G95+GA!G95+Education!G95+Events!G96+Communications!G95+Admin!G95)</f>
        <v>0</v>
      </c>
      <c r="H104" s="15">
        <f>SUM(Membership!H95+GA!H95+Education!H95+Events!H96+Communications!H95+Admin!H95)</f>
        <v>0</v>
      </c>
      <c r="I104" s="15">
        <f>SUM(Membership!I95+GA!I95+Education!I95+Events!I96+Communications!I95+Admin!I95)</f>
        <v>0</v>
      </c>
      <c r="J104" s="15">
        <f>SUM(Membership!J95+GA!J95+Education!J95+Events!J96+Communications!J95+Admin!J95)</f>
        <v>0</v>
      </c>
      <c r="K104" s="15">
        <f>SUM(Membership!K95+GA!K95+Education!K95+Events!K96+Communications!K95+Admin!K95)</f>
        <v>0</v>
      </c>
      <c r="L104" s="15">
        <f>SUM(Membership!L95+GA!L95+Education!L95+Events!L96+Communications!L95+Admin!L95)</f>
        <v>0</v>
      </c>
      <c r="M104" s="15">
        <f>SUM(Membership!M95+GA!M95+Education!M95+Events!M96+Communications!M95+Admin!M95)</f>
        <v>0</v>
      </c>
      <c r="N104" s="15">
        <f t="shared" si="15"/>
        <v>0</v>
      </c>
      <c r="O104" s="46"/>
      <c r="P104" s="46"/>
      <c r="Q104" s="46"/>
      <c r="R104" s="125"/>
    </row>
    <row r="105" spans="1:18" ht="14.25" hidden="1" customHeight="1" x14ac:dyDescent="0.25">
      <c r="A105" s="16" t="s">
        <v>119</v>
      </c>
      <c r="B105" s="15">
        <f>SUM(Membership!B96+GA!B96+Education!B96+Events!B97+Communications!B96+Admin!B96)</f>
        <v>3000</v>
      </c>
      <c r="C105" s="15">
        <f>SUM(Membership!C96+GA!C96+Education!C96+Events!C97+Communications!C96+Admin!C96)</f>
        <v>0</v>
      </c>
      <c r="D105" s="15">
        <f>SUM(Membership!D96+GA!D96+Education!D96+Events!D97+Communications!D96+Admin!D96)</f>
        <v>0</v>
      </c>
      <c r="E105" s="15">
        <f>SUM(Membership!E96+GA!E96+Education!E96+Events!E97+Communications!E96+Admin!E96)</f>
        <v>0</v>
      </c>
      <c r="F105" s="15">
        <f>SUM(Membership!F96+GA!F96+Education!F96+Events!F97+Communications!F96+Admin!F96)</f>
        <v>0</v>
      </c>
      <c r="G105" s="15">
        <f>SUM(Membership!G96+GA!G96+Education!G96+Events!G97+Communications!G96+Admin!G96)</f>
        <v>0</v>
      </c>
      <c r="H105" s="15">
        <f>SUM(Membership!H96+GA!H96+Education!H96+Events!H97+Communications!H96+Admin!H96)</f>
        <v>0</v>
      </c>
      <c r="I105" s="15">
        <f>SUM(Membership!I96+GA!I96+Education!I96+Events!I97+Communications!I96+Admin!I96)</f>
        <v>0</v>
      </c>
      <c r="J105" s="15">
        <f>SUM(Membership!J96+GA!J96+Education!J96+Events!J97+Communications!J96+Admin!J96)</f>
        <v>0</v>
      </c>
      <c r="K105" s="15">
        <f>SUM(Membership!K96+GA!K96+Education!K96+Events!K97+Communications!K96+Admin!K96)</f>
        <v>0</v>
      </c>
      <c r="L105" s="15">
        <f>SUM(Membership!L96+GA!L96+Education!L96+Events!L97+Communications!L96+Admin!L96)</f>
        <v>0</v>
      </c>
      <c r="M105" s="15">
        <f>SUM(Membership!M96+GA!M96+Education!M96+Events!M97+Communications!M96+Admin!M96)</f>
        <v>0</v>
      </c>
      <c r="N105" s="15">
        <f t="shared" si="15"/>
        <v>3000</v>
      </c>
      <c r="O105" s="46">
        <f>0</f>
        <v>0</v>
      </c>
      <c r="P105" s="46">
        <f>250</f>
        <v>250</v>
      </c>
      <c r="Q105" s="46">
        <f>N105-O105</f>
        <v>3000</v>
      </c>
      <c r="R105" s="125" t="s">
        <v>202</v>
      </c>
    </row>
    <row r="106" spans="1:18" s="39" customFormat="1" ht="14.25" hidden="1" customHeight="1" x14ac:dyDescent="0.25">
      <c r="A106" s="30" t="s">
        <v>156</v>
      </c>
      <c r="B106" s="31">
        <f>SUM(B89:B105)-B88</f>
        <v>9885</v>
      </c>
      <c r="C106" s="31">
        <f t="shared" ref="C106:M106" si="17">SUM(C89:C105)-C88</f>
        <v>7893</v>
      </c>
      <c r="D106" s="31">
        <f t="shared" si="17"/>
        <v>8558</v>
      </c>
      <c r="E106" s="31">
        <f t="shared" si="17"/>
        <v>7658</v>
      </c>
      <c r="F106" s="31">
        <f t="shared" si="17"/>
        <v>7308</v>
      </c>
      <c r="G106" s="31">
        <f t="shared" si="17"/>
        <v>7308</v>
      </c>
      <c r="H106" s="31">
        <f t="shared" si="17"/>
        <v>7308</v>
      </c>
      <c r="I106" s="31">
        <f t="shared" si="17"/>
        <v>7893</v>
      </c>
      <c r="J106" s="31">
        <f t="shared" si="17"/>
        <v>7808</v>
      </c>
      <c r="K106" s="31">
        <f t="shared" si="17"/>
        <v>8808</v>
      </c>
      <c r="L106" s="31">
        <f t="shared" si="17"/>
        <v>7433</v>
      </c>
      <c r="M106" s="31">
        <f t="shared" si="17"/>
        <v>7308</v>
      </c>
      <c r="N106" s="31">
        <f>SUM(B106:M106)</f>
        <v>95168</v>
      </c>
      <c r="O106" s="48"/>
      <c r="P106" s="48"/>
      <c r="Q106" s="48"/>
      <c r="R106" s="48"/>
    </row>
    <row r="107" spans="1:18" s="34" customFormat="1" ht="14.25" customHeight="1" x14ac:dyDescent="0.25">
      <c r="A107" s="35" t="s">
        <v>120</v>
      </c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49"/>
      <c r="P107" s="49"/>
      <c r="Q107" s="49"/>
      <c r="R107" s="126"/>
    </row>
    <row r="108" spans="1:18" ht="14.25" customHeight="1" x14ac:dyDescent="0.25">
      <c r="A108" s="16" t="s">
        <v>121</v>
      </c>
      <c r="B108" s="15">
        <f>SUM(Membership!B98+GA!B98+Education!B98+Events!B99+Communications!B98+Admin!B98)</f>
        <v>1500</v>
      </c>
      <c r="C108" s="15">
        <f>SUM(Membership!C98+GA!C98+Education!C98+Events!C99+Communications!C98+Admin!C98)</f>
        <v>125</v>
      </c>
      <c r="D108" s="15">
        <f>SUM(Membership!D98+GA!D98+Education!D98+Events!D99+Communications!D98+Admin!D98)</f>
        <v>2000</v>
      </c>
      <c r="E108" s="15">
        <f>SUM(Membership!E98+GA!E98+Education!E98+Events!E99+Communications!E98+Admin!E98)</f>
        <v>320</v>
      </c>
      <c r="F108" s="15">
        <f>SUM(Membership!F98+GA!F98+Education!F98+Events!F99+Communications!F98+Admin!F98)</f>
        <v>150</v>
      </c>
      <c r="G108" s="15">
        <f>SUM(Membership!G98+GA!G98+Education!G98+Events!G99+Communications!G98+Admin!G98)</f>
        <v>150</v>
      </c>
      <c r="H108" s="15">
        <f>SUM(Membership!H98+GA!H98+Education!H98+Events!H99+Communications!H98+Admin!H98)</f>
        <v>500</v>
      </c>
      <c r="I108" s="15">
        <f>SUM(Membership!I98+GA!I98+Education!I98+Events!I99+Communications!I98+Admin!I98)</f>
        <v>550</v>
      </c>
      <c r="J108" s="15">
        <f>SUM(Membership!J98+GA!J98+Education!J98+Events!J99+Communications!J98+Admin!J98)</f>
        <v>220</v>
      </c>
      <c r="K108" s="15">
        <f>SUM(Membership!K98+GA!K98+Education!K98+Events!K99+Communications!K98+Admin!K98)</f>
        <v>135</v>
      </c>
      <c r="L108" s="15">
        <f>SUM(Membership!L98+GA!L98+Education!L98+Events!L99+Communications!L98+Admin!L98)</f>
        <v>500</v>
      </c>
      <c r="M108" s="15">
        <f>SUM(Membership!M98+GA!M98+Education!M98+Events!M99+Communications!M98+Admin!M98)</f>
        <v>2000</v>
      </c>
      <c r="N108" s="15">
        <f t="shared" si="15"/>
        <v>8150</v>
      </c>
      <c r="O108" s="46">
        <f>2259.92</f>
        <v>2259.92</v>
      </c>
      <c r="P108" s="46">
        <f>7300</f>
        <v>7300</v>
      </c>
      <c r="Q108" s="46">
        <f>N108-O108</f>
        <v>5890.08</v>
      </c>
      <c r="R108" s="125"/>
    </row>
    <row r="109" spans="1:18" ht="14.25" customHeight="1" x14ac:dyDescent="0.25">
      <c r="A109" s="30" t="s">
        <v>158</v>
      </c>
      <c r="B109" s="31">
        <f>SUM(B108)</f>
        <v>1500</v>
      </c>
      <c r="C109" s="31">
        <f t="shared" ref="C109:M109" si="18">SUM(C108)</f>
        <v>125</v>
      </c>
      <c r="D109" s="31">
        <f t="shared" si="18"/>
        <v>2000</v>
      </c>
      <c r="E109" s="31">
        <f t="shared" si="18"/>
        <v>320</v>
      </c>
      <c r="F109" s="31">
        <f t="shared" si="18"/>
        <v>150</v>
      </c>
      <c r="G109" s="31">
        <f t="shared" si="18"/>
        <v>150</v>
      </c>
      <c r="H109" s="31">
        <f t="shared" si="18"/>
        <v>500</v>
      </c>
      <c r="I109" s="31">
        <f t="shared" si="18"/>
        <v>550</v>
      </c>
      <c r="J109" s="31">
        <f t="shared" si="18"/>
        <v>220</v>
      </c>
      <c r="K109" s="31">
        <f t="shared" si="18"/>
        <v>135</v>
      </c>
      <c r="L109" s="31">
        <f t="shared" si="18"/>
        <v>500</v>
      </c>
      <c r="M109" s="31">
        <f t="shared" si="18"/>
        <v>2000</v>
      </c>
      <c r="N109" s="31">
        <f>SUM(B109:M109)</f>
        <v>8150</v>
      </c>
      <c r="O109" s="48">
        <f>SUM(O108)</f>
        <v>2259.92</v>
      </c>
      <c r="P109" s="48">
        <f t="shared" ref="P109:Q109" si="19">SUM(P108)</f>
        <v>7300</v>
      </c>
      <c r="Q109" s="48">
        <f t="shared" si="19"/>
        <v>5890.08</v>
      </c>
      <c r="R109" s="125"/>
    </row>
    <row r="110" spans="1:18" s="34" customFormat="1" ht="14.25" customHeight="1" x14ac:dyDescent="0.25">
      <c r="A110" s="32" t="s">
        <v>122</v>
      </c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49"/>
      <c r="P110" s="49"/>
      <c r="Q110" s="49"/>
      <c r="R110" s="126"/>
    </row>
    <row r="111" spans="1:18" ht="14.25" customHeight="1" x14ac:dyDescent="0.25">
      <c r="A111" s="16" t="s">
        <v>123</v>
      </c>
      <c r="B111" s="15">
        <f>SUM(Membership!B100+GA!B100+Education!B100+Events!B100+Communications!B100+Admin!B100)</f>
        <v>985</v>
      </c>
      <c r="C111" s="15">
        <f>SUM(Membership!C100+GA!C100+Education!C100+Events!C100+Communications!C100+Admin!C100)</f>
        <v>0</v>
      </c>
      <c r="D111" s="15">
        <f>SUM(Membership!D100+GA!D100+Education!D100+Events!D100+Communications!D100+Admin!D100)</f>
        <v>3850</v>
      </c>
      <c r="E111" s="15">
        <f>SUM(Membership!E100+GA!E100+Education!E100+Events!E100+Communications!E100+Admin!E100)</f>
        <v>4645</v>
      </c>
      <c r="F111" s="15">
        <f>SUM(Membership!F100+GA!F100+Education!F100+Events!F100+Communications!F100+Admin!F100)</f>
        <v>0</v>
      </c>
      <c r="G111" s="15">
        <f>SUM(Membership!G100+GA!G100+Education!G100+Events!G100+Communications!G100+Admin!G100)</f>
        <v>0</v>
      </c>
      <c r="H111" s="15">
        <f>SUM(Membership!H100+GA!H100+Education!H100+Events!H100+Communications!H100+Admin!H100)</f>
        <v>1529</v>
      </c>
      <c r="I111" s="15">
        <f>SUM(Membership!I100+GA!I100+Education!I100+Events!I100+Communications!I100+Admin!I100)</f>
        <v>0</v>
      </c>
      <c r="J111" s="15">
        <f>SUM(Membership!J100+GA!J100+Education!J100+Events!J100+Communications!J100+Admin!J100)</f>
        <v>0</v>
      </c>
      <c r="K111" s="15">
        <f>SUM(Membership!K100+GA!K100+Education!K100+Events!K100+Communications!K100+Admin!K100)</f>
        <v>720</v>
      </c>
      <c r="L111" s="15">
        <f>SUM(Membership!L100+GA!L100+Education!L100+Events!L100+Communications!L100+Admin!L100)</f>
        <v>0</v>
      </c>
      <c r="M111" s="15">
        <f>SUM(Membership!M100+GA!M100+Education!M100+Events!M100+Communications!M100+Admin!M100)</f>
        <v>0</v>
      </c>
      <c r="N111" s="15">
        <f t="shared" ref="N111:N115" si="20">SUM(B111:M111)</f>
        <v>11729</v>
      </c>
      <c r="O111" s="46">
        <f>15983.81</f>
        <v>15983.81</v>
      </c>
      <c r="P111" s="46">
        <f>7879</f>
        <v>7879</v>
      </c>
      <c r="Q111" s="46">
        <f>N111-O111</f>
        <v>-4254.8099999999995</v>
      </c>
      <c r="R111" s="125"/>
    </row>
    <row r="112" spans="1:18" ht="14.25" customHeight="1" x14ac:dyDescent="0.25">
      <c r="A112" s="16" t="s">
        <v>124</v>
      </c>
      <c r="B112" s="15">
        <f>SUM(Membership!B101+GA!B101+Education!B101+Events!B101+Communications!B101+Admin!B101)</f>
        <v>0</v>
      </c>
      <c r="C112" s="15">
        <f>SUM(Membership!C101+GA!C101+Education!C101+Events!C101+Communications!C101+Admin!C101)</f>
        <v>0</v>
      </c>
      <c r="D112" s="15">
        <f>SUM(Membership!D101+GA!D101+Education!D101+Events!D101+Communications!D101+Admin!D101)</f>
        <v>0</v>
      </c>
      <c r="E112" s="15">
        <f>SUM(Membership!E101+GA!E101+Education!E101+Events!E101+Communications!E101+Admin!E101)</f>
        <v>0</v>
      </c>
      <c r="F112" s="15">
        <f>SUM(Membership!F101+GA!F101+Education!F101+Events!F101+Communications!F101+Admin!F101)</f>
        <v>0</v>
      </c>
      <c r="G112" s="15">
        <f>SUM(Membership!G101+GA!G101+Education!G101+Events!G101+Communications!G101+Admin!G101)</f>
        <v>0</v>
      </c>
      <c r="H112" s="15">
        <f>SUM(Membership!H101+GA!H101+Education!H101+Events!H101+Communications!H101+Admin!H101)</f>
        <v>14445</v>
      </c>
      <c r="I112" s="15">
        <f>SUM(Membership!I101+GA!I101+Education!I101+Events!I101+Communications!I101+Admin!I101)</f>
        <v>0</v>
      </c>
      <c r="J112" s="15">
        <f>SUM(Membership!J101+GA!J101+Education!J101+Events!J101+Communications!J101+Admin!J101)</f>
        <v>0</v>
      </c>
      <c r="K112" s="15">
        <f>SUM(Membership!K101+GA!K101+Education!K101+Events!K101+Communications!K101+Admin!K101)</f>
        <v>0</v>
      </c>
      <c r="L112" s="15">
        <f>SUM(Membership!L101+GA!L101+Education!L101+Events!L101+Communications!L101+Admin!L101)</f>
        <v>0</v>
      </c>
      <c r="M112" s="15">
        <f>SUM(Membership!M101+GA!M101+Education!M101+Events!M101+Communications!M101+Admin!M101)</f>
        <v>0</v>
      </c>
      <c r="N112" s="15">
        <f t="shared" si="20"/>
        <v>14445</v>
      </c>
      <c r="O112" s="46">
        <f>11678.64</f>
        <v>11678.64</v>
      </c>
      <c r="P112" s="46">
        <f>16185</f>
        <v>16185</v>
      </c>
      <c r="Q112" s="46">
        <f t="shared" ref="Q112:Q116" si="21">N112-O112</f>
        <v>2766.3600000000006</v>
      </c>
      <c r="R112" s="125"/>
    </row>
    <row r="113" spans="1:18" ht="14.25" customHeight="1" x14ac:dyDescent="0.25">
      <c r="A113" s="16" t="s">
        <v>125</v>
      </c>
      <c r="B113" s="15">
        <f>SUM(Membership!B102+GA!B102+Education!B102+Events!B102+Communications!B102+Admin!B102)</f>
        <v>0</v>
      </c>
      <c r="C113" s="15">
        <f>SUM(Membership!C102+GA!C102+Education!C102+Events!C102+Communications!C102+Admin!C102)</f>
        <v>0</v>
      </c>
      <c r="D113" s="15">
        <f>SUM(Membership!D102+GA!D102+Education!D102+Events!D102+Communications!D102+Admin!D102)</f>
        <v>0</v>
      </c>
      <c r="E113" s="15">
        <f>SUM(Membership!E102+GA!E102+Education!E102+Events!E102+Communications!E102+Admin!E102)</f>
        <v>0</v>
      </c>
      <c r="F113" s="15">
        <f>SUM(Membership!F102+GA!F102+Education!F102+Events!F102+Communications!F102+Admin!F102)</f>
        <v>0</v>
      </c>
      <c r="G113" s="15">
        <f>SUM(Membership!G102+GA!G102+Education!G102+Events!G102+Communications!G102+Admin!G102)</f>
        <v>0</v>
      </c>
      <c r="H113" s="15">
        <f>SUM(Membership!H102+GA!H102+Education!H102+Events!H102+Communications!H102+Admin!H102)</f>
        <v>0</v>
      </c>
      <c r="I113" s="15">
        <f>SUM(Membership!I102+GA!I102+Education!I102+Events!I102+Communications!I102+Admin!I102)</f>
        <v>0</v>
      </c>
      <c r="J113" s="15">
        <f>SUM(Membership!J102+GA!J102+Education!J102+Events!J102+Communications!J102+Admin!J102)</f>
        <v>0</v>
      </c>
      <c r="K113" s="15">
        <f>SUM(Membership!K102+GA!K102+Education!K102+Events!K102+Communications!K102+Admin!K102)</f>
        <v>0</v>
      </c>
      <c r="L113" s="15">
        <f>SUM(Membership!L102+GA!L102+Education!L102+Events!L102+Communications!L102+Admin!L102)</f>
        <v>0</v>
      </c>
      <c r="M113" s="15">
        <f>SUM(Membership!M102+GA!M102+Education!M102+Events!M102+Communications!M102+Admin!M102)</f>
        <v>0</v>
      </c>
      <c r="N113" s="15">
        <f t="shared" si="20"/>
        <v>0</v>
      </c>
      <c r="O113" s="46">
        <v>0</v>
      </c>
      <c r="P113" s="46">
        <v>0</v>
      </c>
      <c r="Q113" s="46">
        <f t="shared" si="21"/>
        <v>0</v>
      </c>
      <c r="R113" s="125"/>
    </row>
    <row r="114" spans="1:18" ht="31.5" customHeight="1" x14ac:dyDescent="0.25">
      <c r="A114" s="16" t="s">
        <v>126</v>
      </c>
      <c r="B114" s="15">
        <f>SUM(Membership!B103+GA!B103+Education!B103+Events!B103+Communications!B103+Admin!B103)</f>
        <v>0</v>
      </c>
      <c r="C114" s="15">
        <f>SUM(Membership!C103+GA!C103+Education!C103+Events!C103+Communications!C103+Admin!C103)</f>
        <v>0</v>
      </c>
      <c r="D114" s="15">
        <f>SUM(Membership!D103+GA!D103+Education!D103+Events!D103+Communications!D103+Admin!D103)</f>
        <v>0</v>
      </c>
      <c r="E114" s="15">
        <f>SUM(Membership!E103+GA!E103+Education!E103+Events!E103+Communications!E103+Admin!E103)</f>
        <v>18000</v>
      </c>
      <c r="F114" s="15">
        <f>SUM(Membership!F103+GA!F103+Education!F103+Events!F103+Communications!F103+Admin!F103)</f>
        <v>16400</v>
      </c>
      <c r="G114" s="15">
        <f>SUM(Membership!G103+GA!G103+Education!G103+Events!G103+Communications!G103+Admin!G103)</f>
        <v>0</v>
      </c>
      <c r="H114" s="15">
        <f>SUM(Membership!H103+GA!H103+Education!H103+Events!H103+Communications!H103+Admin!H103)</f>
        <v>0</v>
      </c>
      <c r="I114" s="15">
        <f>SUM(Membership!I103+GA!I103+Education!I103+Events!I103+Communications!I103+Admin!I103)</f>
        <v>0</v>
      </c>
      <c r="J114" s="15">
        <f>SUM(Membership!J103+GA!J103+Education!J103+Events!J103+Communications!J103+Admin!J103)</f>
        <v>0</v>
      </c>
      <c r="K114" s="15">
        <f>SUM(Membership!K103+GA!K103+Education!K103+Events!K103+Communications!K103+Admin!K103)</f>
        <v>0</v>
      </c>
      <c r="L114" s="15">
        <f>SUM(Membership!L103+GA!L103+Education!L103+Events!L103+Communications!L103+Admin!L103)</f>
        <v>0</v>
      </c>
      <c r="M114" s="15">
        <f>SUM(Membership!M103+GA!M103+Education!M103+Events!M103+Communications!M103+Admin!M103)</f>
        <v>0</v>
      </c>
      <c r="N114" s="15">
        <f t="shared" si="20"/>
        <v>34400</v>
      </c>
      <c r="O114" s="46">
        <f>18068.84</f>
        <v>18068.84</v>
      </c>
      <c r="P114" s="46">
        <f>31260</f>
        <v>31260</v>
      </c>
      <c r="Q114" s="46">
        <f t="shared" si="21"/>
        <v>16331.16</v>
      </c>
      <c r="R114" s="128" t="s">
        <v>224</v>
      </c>
    </row>
    <row r="115" spans="1:18" ht="14.25" customHeight="1" x14ac:dyDescent="0.25">
      <c r="A115" s="16" t="s">
        <v>127</v>
      </c>
      <c r="B115" s="15">
        <f>SUM(Membership!B104+GA!B104+Education!B104+Events!B104+Communications!B104+Admin!B104)</f>
        <v>963.75</v>
      </c>
      <c r="C115" s="15">
        <f>SUM(Membership!C104+GA!C104+Education!C104+Events!C104+Communications!C104+Admin!C104)</f>
        <v>662.5</v>
      </c>
      <c r="D115" s="15">
        <f>SUM(Membership!D104+GA!D104+Education!D104+Events!D104+Communications!D104+Admin!D104)</f>
        <v>612.5</v>
      </c>
      <c r="E115" s="15">
        <f>SUM(Membership!E104+GA!E104+Education!E104+Events!E104+Communications!E104+Admin!E104)</f>
        <v>340</v>
      </c>
      <c r="F115" s="15">
        <f>SUM(Membership!F104+GA!F104+Education!F104+Events!F104+Communications!F104+Admin!F104)</f>
        <v>872.5</v>
      </c>
      <c r="G115" s="15">
        <f>SUM(Membership!G104+GA!G104+Education!G104+Events!G104+Communications!G104+Admin!G104)</f>
        <v>2010</v>
      </c>
      <c r="H115" s="15">
        <f>SUM(Membership!H104+GA!H104+Education!H104+Events!H104+Communications!H104+Admin!H104)</f>
        <v>1510</v>
      </c>
      <c r="I115" s="15">
        <f>SUM(Membership!I104+GA!I104+Education!I104+Events!I104+Communications!I104+Admin!I104)</f>
        <v>300</v>
      </c>
      <c r="J115" s="15">
        <f>SUM(Membership!J104+GA!J104+Education!J104+Events!J104+Communications!J104+Admin!J104)</f>
        <v>300</v>
      </c>
      <c r="K115" s="15">
        <f>SUM(Membership!K104+GA!K104+Education!K104+Events!K104+Communications!K104+Admin!K104)</f>
        <v>1122.5</v>
      </c>
      <c r="L115" s="15">
        <f>SUM(Membership!L104+GA!L104+Education!L104+Events!L104+Communications!L104+Admin!L104)</f>
        <v>1535</v>
      </c>
      <c r="M115" s="15">
        <f>SUM(Membership!M104+GA!M104+Education!M104+Events!M104+Communications!M104+Admin!M104)</f>
        <v>0</v>
      </c>
      <c r="N115" s="15">
        <f t="shared" si="20"/>
        <v>10228.75</v>
      </c>
      <c r="O115" s="46">
        <f>15125.06</f>
        <v>15125.06</v>
      </c>
      <c r="P115" s="46">
        <f>6270</f>
        <v>6270</v>
      </c>
      <c r="Q115" s="46">
        <f t="shared" si="21"/>
        <v>-4896.3099999999995</v>
      </c>
      <c r="R115" s="125"/>
    </row>
    <row r="116" spans="1:18" s="39" customFormat="1" ht="14.25" customHeight="1" x14ac:dyDescent="0.25">
      <c r="A116" s="30" t="s">
        <v>157</v>
      </c>
      <c r="B116" s="31">
        <f>SUM(B110:B115)</f>
        <v>1948.75</v>
      </c>
      <c r="C116" s="31">
        <f t="shared" ref="C116:M116" si="22">SUM(C110:C115)</f>
        <v>662.5</v>
      </c>
      <c r="D116" s="31">
        <f t="shared" si="22"/>
        <v>4462.5</v>
      </c>
      <c r="E116" s="31">
        <f t="shared" si="22"/>
        <v>22985</v>
      </c>
      <c r="F116" s="31">
        <f t="shared" si="22"/>
        <v>17272.5</v>
      </c>
      <c r="G116" s="31">
        <f t="shared" si="22"/>
        <v>2010</v>
      </c>
      <c r="H116" s="31">
        <f t="shared" si="22"/>
        <v>17484</v>
      </c>
      <c r="I116" s="31">
        <f t="shared" si="22"/>
        <v>300</v>
      </c>
      <c r="J116" s="31">
        <f t="shared" si="22"/>
        <v>300</v>
      </c>
      <c r="K116" s="31">
        <f t="shared" si="22"/>
        <v>1842.5</v>
      </c>
      <c r="L116" s="31">
        <f t="shared" si="22"/>
        <v>1535</v>
      </c>
      <c r="M116" s="31">
        <f t="shared" si="22"/>
        <v>0</v>
      </c>
      <c r="N116" s="31">
        <f>SUM(B116:M116)</f>
        <v>70802.75</v>
      </c>
      <c r="O116" s="48">
        <f>SUM(O111:O115)</f>
        <v>60856.349999999991</v>
      </c>
      <c r="P116" s="48">
        <f>SUM(P111:P115)</f>
        <v>61594</v>
      </c>
      <c r="Q116" s="48">
        <f t="shared" si="21"/>
        <v>9946.4000000000087</v>
      </c>
      <c r="R116" s="48"/>
    </row>
    <row r="117" spans="1:18" s="34" customFormat="1" ht="14.25" customHeight="1" x14ac:dyDescent="0.25">
      <c r="A117" s="32" t="s">
        <v>128</v>
      </c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O117" s="49"/>
      <c r="P117" s="49"/>
      <c r="Q117" s="49"/>
      <c r="R117" s="126"/>
    </row>
    <row r="118" spans="1:18" ht="32.25" customHeight="1" x14ac:dyDescent="0.25">
      <c r="A118" s="16" t="s">
        <v>129</v>
      </c>
      <c r="B118" s="15">
        <f>SUM(Membership!B106+GA!B106+Education!B106+Events!B107+Communications!B106+Admin!B106)</f>
        <v>0</v>
      </c>
      <c r="C118" s="15">
        <f>SUM(Membership!C106+GA!C106+Education!C106+Events!C107+Communications!C106+Admin!C106)</f>
        <v>0</v>
      </c>
      <c r="D118" s="15">
        <f>SUM(Membership!D106+GA!D106+Education!D106+Events!D107+Communications!D106+Admin!D106)</f>
        <v>6075</v>
      </c>
      <c r="E118" s="15">
        <f>SUM(Membership!E106+GA!E106+Education!E106+Events!E107+Communications!E106+Admin!E106)</f>
        <v>0</v>
      </c>
      <c r="F118" s="15">
        <f>SUM(Membership!F106+GA!F106+Education!F106+Events!F107+Communications!F106+Admin!F106)</f>
        <v>0</v>
      </c>
      <c r="G118" s="15">
        <f>SUM(Membership!G106+GA!G106+Education!G106+Events!G107+Communications!G106+Admin!G106)</f>
        <v>0</v>
      </c>
      <c r="H118" s="15">
        <f>SUM(Membership!H106+GA!H106+Education!H106+Events!H107+Communications!H106+Admin!H106)</f>
        <v>6075</v>
      </c>
      <c r="I118" s="15">
        <f>SUM(Membership!I106+GA!I106+Education!I106+Events!I107+Communications!I106+Admin!I106)</f>
        <v>0</v>
      </c>
      <c r="J118" s="15">
        <f>SUM(Membership!J106+GA!J106+Education!J106+Events!J107+Communications!J106+Admin!J106)</f>
        <v>0</v>
      </c>
      <c r="K118" s="15">
        <f>SUM(Membership!K106+GA!K106+Education!K106+Events!K107+Communications!K106+Admin!K106)</f>
        <v>0</v>
      </c>
      <c r="L118" s="15">
        <f>SUM(Membership!L106+GA!L106+Education!L106+Events!L107+Communications!L106+Admin!L106)</f>
        <v>0</v>
      </c>
      <c r="M118" s="15">
        <f>SUM(Membership!M106+GA!M106+Education!M106+Events!M107+Communications!M106+Admin!M106)</f>
        <v>0</v>
      </c>
      <c r="N118" s="15">
        <f t="shared" ref="N118:N127" si="23">SUM(B118:M118)</f>
        <v>12150</v>
      </c>
      <c r="O118" s="46">
        <f>5900</f>
        <v>5900</v>
      </c>
      <c r="P118" s="46">
        <f>6220</f>
        <v>6220</v>
      </c>
      <c r="Q118" s="46">
        <f>N118-O118</f>
        <v>6250</v>
      </c>
      <c r="R118" s="128" t="s">
        <v>236</v>
      </c>
    </row>
    <row r="119" spans="1:18" ht="14.25" customHeight="1" x14ac:dyDescent="0.25">
      <c r="A119" s="16" t="s">
        <v>130</v>
      </c>
      <c r="B119" s="15">
        <f>SUM(Membership!B107+GA!B107+Education!B107+Events!B108+Communications!B107+Admin!B107)</f>
        <v>0</v>
      </c>
      <c r="C119" s="15">
        <f>SUM(Membership!C107+GA!C107+Education!C107+Events!C108+Communications!C107+Admin!C107)</f>
        <v>0</v>
      </c>
      <c r="D119" s="15">
        <f>SUM(Membership!D107+GA!D107+Education!D107+Events!D108+Communications!D107+Admin!D107)</f>
        <v>0</v>
      </c>
      <c r="E119" s="15">
        <f>SUM(Membership!E107+GA!E107+Education!E107+Events!E108+Communications!E107+Admin!E107)</f>
        <v>0</v>
      </c>
      <c r="F119" s="15">
        <f>SUM(Membership!F107+GA!F107+Education!F107+Events!F108+Communications!F107+Admin!F107)</f>
        <v>0</v>
      </c>
      <c r="G119" s="15">
        <f>SUM(Membership!G107+GA!G107+Education!G107+Events!G108+Communications!G107+Admin!G107)</f>
        <v>26247.31</v>
      </c>
      <c r="H119" s="15">
        <f>SUM(Membership!H107+GA!H107+Education!H107+Events!H108+Communications!H107+Admin!H107)</f>
        <v>0</v>
      </c>
      <c r="I119" s="15">
        <f>SUM(Membership!I107+GA!I107+Education!I107+Events!I108+Communications!I107+Admin!I107)</f>
        <v>0</v>
      </c>
      <c r="J119" s="15">
        <f>SUM(Membership!J107+GA!J107+Education!J107+Events!J108+Communications!J107+Admin!J107)</f>
        <v>0</v>
      </c>
      <c r="K119" s="15">
        <f>SUM(Membership!K107+GA!K107+Education!K107+Events!K108+Communications!K107+Admin!K107)</f>
        <v>0</v>
      </c>
      <c r="L119" s="15">
        <f>SUM(Membership!L107+GA!L107+Education!L107+Events!L108+Communications!L107+Admin!L107)</f>
        <v>0</v>
      </c>
      <c r="M119" s="15">
        <f>SUM(Membership!M107+GA!M107+Education!M107+Events!M108+Communications!M107+Admin!M107)</f>
        <v>0</v>
      </c>
      <c r="N119" s="15">
        <f t="shared" si="23"/>
        <v>26247.31</v>
      </c>
      <c r="O119" s="46">
        <f>28920</f>
        <v>28920</v>
      </c>
      <c r="P119" s="46">
        <f>25460</f>
        <v>25460</v>
      </c>
      <c r="Q119" s="46">
        <f t="shared" ref="Q119:Q128" si="24">N119-O119</f>
        <v>-2672.6899999999987</v>
      </c>
      <c r="R119" s="125"/>
    </row>
    <row r="120" spans="1:18" ht="14.25" customHeight="1" x14ac:dyDescent="0.25">
      <c r="A120" s="134" t="s">
        <v>235</v>
      </c>
      <c r="B120" s="15">
        <f>SUM(Membership!B108+GA!B108+Education!B108+Events!B109+Communications!B108+Admin!B108)</f>
        <v>0</v>
      </c>
      <c r="C120" s="15">
        <f>SUM(Membership!C108+GA!C108+Education!C108+Events!C109+Communications!C108+Admin!C108)</f>
        <v>0</v>
      </c>
      <c r="D120" s="15">
        <f>SUM(Membership!D108+GA!D108+Education!D108+Events!D109+Communications!D108+Admin!D108)</f>
        <v>0</v>
      </c>
      <c r="E120" s="15">
        <f>SUM(Membership!E108+GA!E108+Education!E108+Events!E109+Communications!E108+Admin!E108)</f>
        <v>0</v>
      </c>
      <c r="F120" s="15">
        <f>SUM(Membership!F108+GA!F108+Education!F108+Events!F109+Communications!F108+Admin!F108)</f>
        <v>0</v>
      </c>
      <c r="G120" s="15">
        <f>SUM(Membership!G108+GA!G108+Education!G108+Events!G109+Communications!G108+Admin!G108)</f>
        <v>0</v>
      </c>
      <c r="H120" s="15">
        <f>SUM(Membership!H108+GA!H108+Education!H108+Events!H109+Communications!H108+Admin!H108)</f>
        <v>0</v>
      </c>
      <c r="I120" s="15">
        <f>SUM(Membership!I108+GA!I108+Education!I108+Events!I109+Communications!I108+Admin!I108)</f>
        <v>0</v>
      </c>
      <c r="J120" s="15">
        <f>SUM(Membership!J108+GA!J108+Education!J108+Events!J109+Communications!J108+Admin!J108)</f>
        <v>0</v>
      </c>
      <c r="K120" s="15">
        <f>SUM(Membership!K108+GA!K108+Education!K108+Events!K109+Communications!K108+Admin!K108)</f>
        <v>25955</v>
      </c>
      <c r="L120" s="15">
        <f>SUM(Membership!L108+GA!L108+Education!L108+Events!L109+Communications!L108+Admin!L108)</f>
        <v>0</v>
      </c>
      <c r="M120" s="15">
        <f>SUM(Membership!M108+GA!M108+Education!M108+Events!M109+Communications!M108+Admin!M108)</f>
        <v>0</v>
      </c>
      <c r="N120" s="15">
        <f t="shared" si="23"/>
        <v>25955</v>
      </c>
      <c r="O120" s="46">
        <f>13321.58</f>
        <v>13321.58</v>
      </c>
      <c r="P120" s="46">
        <v>22985</v>
      </c>
      <c r="Q120" s="46">
        <f t="shared" si="24"/>
        <v>12633.42</v>
      </c>
      <c r="R120" s="125"/>
    </row>
    <row r="121" spans="1:18" ht="14.25" customHeight="1" x14ac:dyDescent="0.25">
      <c r="A121" s="16" t="s">
        <v>132</v>
      </c>
      <c r="B121" s="15">
        <f>SUM(Membership!B109+GA!B109+Education!B109+Events!B110+Communications!B109+Admin!B109)</f>
        <v>0</v>
      </c>
      <c r="C121" s="15">
        <f>SUM(Membership!C109+GA!C109+Education!C109+Events!C110+Communications!C109+Admin!C109)</f>
        <v>0</v>
      </c>
      <c r="D121" s="15">
        <f>SUM(Membership!D109+GA!D109+Education!D109+Events!D110+Communications!D109+Admin!D109)</f>
        <v>0</v>
      </c>
      <c r="E121" s="15">
        <f>SUM(Membership!E109+GA!E109+Education!E109+Events!E110+Communications!E109+Admin!E109)</f>
        <v>0</v>
      </c>
      <c r="F121" s="15">
        <f>SUM(Membership!F109+GA!F109+Education!F109+Events!F110+Communications!F109+Admin!F109)</f>
        <v>29031.360000000001</v>
      </c>
      <c r="G121" s="15">
        <f>SUM(Membership!G109+GA!G109+Education!G109+Events!G110+Communications!G109+Admin!G109)</f>
        <v>0</v>
      </c>
      <c r="H121" s="15">
        <f>SUM(Membership!H109+GA!H109+Education!H109+Events!H110+Communications!H109+Admin!H109)</f>
        <v>0</v>
      </c>
      <c r="I121" s="15">
        <f>SUM(Membership!I109+GA!I109+Education!I109+Events!I110+Communications!I109+Admin!I109)</f>
        <v>0</v>
      </c>
      <c r="J121" s="15">
        <f>SUM(Membership!J109+GA!J109+Education!J109+Events!J110+Communications!J109+Admin!J109)</f>
        <v>0</v>
      </c>
      <c r="K121" s="15">
        <f>SUM(Membership!K109+GA!K109+Education!K109+Events!K110+Communications!K109+Admin!K109)</f>
        <v>0</v>
      </c>
      <c r="L121" s="15">
        <f>SUM(Membership!L109+GA!L109+Education!L109+Events!L110+Communications!L109+Admin!L109)</f>
        <v>0</v>
      </c>
      <c r="M121" s="15">
        <f>SUM(Membership!M109+GA!M109+Education!M109+Events!M110+Communications!M109+Admin!M109)</f>
        <v>0</v>
      </c>
      <c r="N121" s="15">
        <f t="shared" si="23"/>
        <v>29031.360000000001</v>
      </c>
      <c r="O121" s="46">
        <v>-648.84</v>
      </c>
      <c r="P121" s="46">
        <f>29031</f>
        <v>29031</v>
      </c>
      <c r="Q121" s="46">
        <f t="shared" si="24"/>
        <v>29680.2</v>
      </c>
      <c r="R121" s="125"/>
    </row>
    <row r="122" spans="1:18" ht="14.25" customHeight="1" x14ac:dyDescent="0.25">
      <c r="A122" s="16" t="s">
        <v>133</v>
      </c>
      <c r="B122" s="15">
        <f>SUM(Membership!B110+GA!B110+Education!B110+Events!B111+Communications!B110+Admin!B110)</f>
        <v>0</v>
      </c>
      <c r="C122" s="15">
        <f>SUM(Membership!C110+GA!C110+Education!C110+Events!C111+Communications!C110+Admin!C110)</f>
        <v>0</v>
      </c>
      <c r="D122" s="15">
        <f>SUM(Membership!D110+GA!D110+Education!D110+Events!D111+Communications!D110+Admin!D110)</f>
        <v>0</v>
      </c>
      <c r="E122" s="15">
        <f>SUM(Membership!E110+GA!E110+Education!E110+Events!E111+Communications!E110+Admin!E110)</f>
        <v>10586.25</v>
      </c>
      <c r="F122" s="15">
        <f>SUM(Membership!F110+GA!F110+Education!F110+Events!F111+Communications!F110+Admin!F110)</f>
        <v>0</v>
      </c>
      <c r="G122" s="15">
        <f>SUM(Membership!G110+GA!G110+Education!G110+Events!G111+Communications!G110+Admin!G110)</f>
        <v>0</v>
      </c>
      <c r="H122" s="15">
        <f>SUM(Membership!H110+GA!H110+Education!H110+Events!H111+Communications!H110+Admin!H110)</f>
        <v>0</v>
      </c>
      <c r="I122" s="15">
        <f>SUM(Membership!I110+GA!I110+Education!I110+Events!I111+Communications!I110+Admin!I110)</f>
        <v>0</v>
      </c>
      <c r="J122" s="15">
        <f>SUM(Membership!J110+GA!J110+Education!J110+Events!J111+Communications!J110+Admin!J110)</f>
        <v>0</v>
      </c>
      <c r="K122" s="15">
        <f>SUM(Membership!K110+GA!K110+Education!K110+Events!K111+Communications!K110+Admin!K110)</f>
        <v>0</v>
      </c>
      <c r="L122" s="15">
        <f>SUM(Membership!L110+GA!L110+Education!L110+Events!L111+Communications!L110+Admin!L110)</f>
        <v>0</v>
      </c>
      <c r="M122" s="15">
        <f>SUM(Membership!M110+GA!M110+Education!M110+Events!M111+Communications!M110+Admin!M110)</f>
        <v>0</v>
      </c>
      <c r="N122" s="15">
        <f t="shared" si="23"/>
        <v>10586.25</v>
      </c>
      <c r="O122" s="46">
        <v>0</v>
      </c>
      <c r="P122" s="46">
        <f>7098</f>
        <v>7098</v>
      </c>
      <c r="Q122" s="46">
        <f t="shared" si="24"/>
        <v>10586.25</v>
      </c>
      <c r="R122" s="125"/>
    </row>
    <row r="123" spans="1:18" ht="14.25" customHeight="1" x14ac:dyDescent="0.25">
      <c r="A123" s="16" t="s">
        <v>134</v>
      </c>
      <c r="B123" s="15">
        <f>SUM(Membership!B111+GA!B111+Education!B111+Events!B112+Communications!B111+Admin!B111)</f>
        <v>0</v>
      </c>
      <c r="C123" s="15">
        <f>SUM(Membership!C111+GA!C111+Education!C111+Events!C112+Communications!C111+Admin!C111)</f>
        <v>58484.25</v>
      </c>
      <c r="D123" s="15">
        <f>SUM(Membership!D111+GA!D111+Education!D111+Events!D112+Communications!D111+Admin!D111)</f>
        <v>0</v>
      </c>
      <c r="E123" s="15">
        <f>SUM(Membership!E111+GA!E111+Education!E111+Events!E112+Communications!E111+Admin!E111)</f>
        <v>0</v>
      </c>
      <c r="F123" s="15">
        <f>SUM(Membership!F111+GA!F111+Education!F111+Events!F112+Communications!F111+Admin!F111)</f>
        <v>0</v>
      </c>
      <c r="G123" s="15">
        <f>SUM(Membership!G111+GA!G111+Education!G111+Events!G112+Communications!G111+Admin!G111)</f>
        <v>0</v>
      </c>
      <c r="H123" s="15">
        <f>SUM(Membership!H111+GA!H111+Education!H111+Events!H112+Communications!H111+Admin!H111)</f>
        <v>0</v>
      </c>
      <c r="I123" s="15">
        <f>SUM(Membership!I111+GA!I111+Education!I111+Events!I112+Communications!I111+Admin!I111)</f>
        <v>0</v>
      </c>
      <c r="J123" s="15">
        <f>SUM(Membership!J111+GA!J111+Education!J111+Events!J112+Communications!J111+Admin!J111)</f>
        <v>0</v>
      </c>
      <c r="K123" s="15">
        <f>SUM(Membership!K111+GA!K111+Education!K111+Events!K112+Communications!K111+Admin!K111)</f>
        <v>0</v>
      </c>
      <c r="L123" s="15">
        <f>SUM(Membership!L111+GA!L111+Education!L111+Events!L112+Communications!L111+Admin!L111)</f>
        <v>0</v>
      </c>
      <c r="M123" s="15">
        <f>SUM(Membership!M111+GA!M111+Education!M111+Events!M112+Communications!M111+Admin!M111)</f>
        <v>0</v>
      </c>
      <c r="N123" s="15">
        <f t="shared" si="23"/>
        <v>58484.25</v>
      </c>
      <c r="O123" s="46">
        <f>16418.8</f>
        <v>16418.8</v>
      </c>
      <c r="P123" s="46">
        <v>4175</v>
      </c>
      <c r="Q123" s="46">
        <f t="shared" si="24"/>
        <v>42065.45</v>
      </c>
      <c r="R123" s="125"/>
    </row>
    <row r="124" spans="1:18" ht="14.25" customHeight="1" x14ac:dyDescent="0.25">
      <c r="A124" s="16" t="s">
        <v>220</v>
      </c>
      <c r="B124" s="15">
        <f>SUM(Membership!B112+GA!B112+Education!B112+Events!B113+Communications!B112+Admin!B112)</f>
        <v>0</v>
      </c>
      <c r="C124" s="15">
        <f>SUM(Membership!C112+GA!C112+Education!C112+Events!C113+Communications!C112+Admin!C112)</f>
        <v>0</v>
      </c>
      <c r="D124" s="15">
        <f>SUM(Membership!D112+GA!D112+Education!D112+Events!D113+Communications!D112+Admin!D112)</f>
        <v>0</v>
      </c>
      <c r="E124" s="15">
        <f>SUM(Membership!E112+GA!E112+Education!E112+Events!E113+Communications!E112+Admin!E112)</f>
        <v>0</v>
      </c>
      <c r="F124" s="15">
        <f>SUM(Membership!F112+GA!F112+Education!F112+Events!F113+Communications!F112+Admin!F112)</f>
        <v>0</v>
      </c>
      <c r="G124" s="15">
        <f>SUM(Membership!G112+GA!G112+Education!G112+Events!G113+Communications!G112+Admin!G112)</f>
        <v>0</v>
      </c>
      <c r="H124" s="15">
        <f>SUM(Membership!H112+GA!H112+Education!H112+Events!H113+Communications!H112+Admin!H112)</f>
        <v>0</v>
      </c>
      <c r="I124" s="15">
        <f>SUM(Membership!I112+GA!I112+Education!I112+Events!I113+Communications!I112+Admin!I112)</f>
        <v>0</v>
      </c>
      <c r="J124" s="15">
        <f>SUM(Membership!J112+GA!J112+Education!J112+Events!J113+Communications!J112+Admin!J112)</f>
        <v>0</v>
      </c>
      <c r="K124" s="15">
        <f>SUM(Membership!K112+GA!K112+Education!K112+Events!K113+Communications!K112+Admin!K112)</f>
        <v>0</v>
      </c>
      <c r="L124" s="15">
        <f>SUM(Membership!L112+GA!L112+Education!L112+Events!L113+Communications!L112+Admin!L112)</f>
        <v>21720</v>
      </c>
      <c r="M124" s="15">
        <f>SUM(Membership!M112+GA!M112+Education!M112+Events!M113+Communications!M112+Admin!M112)</f>
        <v>0</v>
      </c>
      <c r="N124" s="15">
        <f t="shared" si="23"/>
        <v>21720</v>
      </c>
      <c r="O124" s="46">
        <f>10885</f>
        <v>10885</v>
      </c>
      <c r="P124" s="46">
        <f>34729</f>
        <v>34729</v>
      </c>
      <c r="Q124" s="46">
        <f t="shared" si="24"/>
        <v>10835</v>
      </c>
      <c r="R124" s="125"/>
    </row>
    <row r="125" spans="1:18" ht="14.25" customHeight="1" x14ac:dyDescent="0.25">
      <c r="A125" s="134" t="s">
        <v>237</v>
      </c>
      <c r="B125" s="15">
        <f>SUM(Membership!B113+GA!B113+Education!B113+Events!B114+Communications!B113+Admin!B113)</f>
        <v>2750</v>
      </c>
      <c r="C125" s="15">
        <f>SUM(Membership!C113+GA!C113+Education!C113+Events!C114+Communications!C113+Admin!C113)</f>
        <v>0</v>
      </c>
      <c r="D125" s="15">
        <f>SUM(Membership!D113+GA!D113+Education!D113+Events!D114+Communications!D113+Admin!D113)</f>
        <v>0</v>
      </c>
      <c r="E125" s="15">
        <f>SUM(Membership!E113+GA!E113+Education!E113+Events!E114+Communications!E113+Admin!E113)</f>
        <v>0</v>
      </c>
      <c r="F125" s="15">
        <f>SUM(Membership!F113+GA!F113+Education!F113+Events!F114+Communications!F113+Admin!F113)</f>
        <v>0</v>
      </c>
      <c r="G125" s="15">
        <f>SUM(Membership!G113+GA!G113+Education!G113+Events!G114+Communications!G113+Admin!G113)</f>
        <v>0</v>
      </c>
      <c r="H125" s="15">
        <f>SUM(Membership!H113+GA!H113+Education!H113+Events!H114+Communications!H113+Admin!H113)</f>
        <v>0</v>
      </c>
      <c r="I125" s="15">
        <f>SUM(Membership!I113+GA!I113+Education!I113+Events!I114+Communications!I113+Admin!I113)</f>
        <v>0</v>
      </c>
      <c r="J125" s="15">
        <f>SUM(Membership!J113+GA!J113+Education!J113+Events!J114+Communications!J113+Admin!J113)</f>
        <v>0</v>
      </c>
      <c r="K125" s="15">
        <f>SUM(Membership!K113+GA!K113+Education!K113+Events!K114+Communications!K113+Admin!K113)</f>
        <v>0</v>
      </c>
      <c r="L125" s="15">
        <f>SUM(Membership!L113+GA!L113+Education!L113+Events!L114+Communications!L113+Admin!L113)</f>
        <v>0</v>
      </c>
      <c r="M125" s="15">
        <f>SUM(Membership!M113+GA!M113+Education!M113+Events!M114+Communications!M113+Admin!M113)</f>
        <v>0</v>
      </c>
      <c r="N125" s="15">
        <f t="shared" si="23"/>
        <v>2750</v>
      </c>
      <c r="O125" s="46">
        <f>202.99</f>
        <v>202.99</v>
      </c>
      <c r="P125" s="46">
        <v>0</v>
      </c>
      <c r="Q125" s="46">
        <f t="shared" si="24"/>
        <v>2547.0100000000002</v>
      </c>
      <c r="R125" s="125"/>
    </row>
    <row r="126" spans="1:18" ht="14.25" customHeight="1" x14ac:dyDescent="0.25">
      <c r="A126" s="16" t="s">
        <v>136</v>
      </c>
      <c r="B126" s="15">
        <f>SUM(Membership!B114+GA!B114+Education!B114+Events!B115+Communications!B114+Admin!B114)</f>
        <v>0</v>
      </c>
      <c r="C126" s="15">
        <f>SUM(Membership!C114+GA!C114+Education!C114+Events!C115+Communications!C114+Admin!C114)</f>
        <v>0</v>
      </c>
      <c r="D126" s="15">
        <f>SUM(Membership!D114+GA!D114+Education!D114+Events!D115+Communications!D114+Admin!D114)</f>
        <v>0</v>
      </c>
      <c r="E126" s="15">
        <f>SUM(Membership!E114+GA!E114+Education!E114+Events!E115+Communications!E114+Admin!E114)</f>
        <v>0</v>
      </c>
      <c r="F126" s="15">
        <f>SUM(Membership!F114+GA!F114+Education!F114+Events!F115+Communications!F114+Admin!F114)</f>
        <v>0</v>
      </c>
      <c r="G126" s="15">
        <f>SUM(Membership!G114+GA!G114+Education!G114+Events!G115+Communications!G114+Admin!G114)</f>
        <v>0</v>
      </c>
      <c r="H126" s="15">
        <f>SUM(Membership!H114+GA!H114+Education!H114+Events!H115+Communications!H114+Admin!H114)</f>
        <v>0</v>
      </c>
      <c r="I126" s="15">
        <f>SUM(Membership!I114+GA!I114+Education!I114+Events!I115+Communications!I114+Admin!I114)</f>
        <v>0</v>
      </c>
      <c r="J126" s="15">
        <f>SUM(Membership!J114+GA!J114+Education!J114+Events!J115+Communications!J114+Admin!J114)</f>
        <v>72125</v>
      </c>
      <c r="K126" s="15">
        <f>SUM(Membership!K114+GA!K114+Education!K114+Events!K115+Communications!K114+Admin!K114)</f>
        <v>0</v>
      </c>
      <c r="L126" s="15">
        <f>SUM(Membership!L114+GA!L114+Education!L114+Events!L115+Communications!L114+Admin!L114)</f>
        <v>0</v>
      </c>
      <c r="M126" s="15">
        <f>SUM(Membership!M114+GA!M114+Education!M114+Events!M115+Communications!M114+Admin!M114)</f>
        <v>0</v>
      </c>
      <c r="N126" s="15">
        <f t="shared" si="23"/>
        <v>72125</v>
      </c>
      <c r="O126" s="46">
        <f>38351.59</f>
        <v>38351.589999999997</v>
      </c>
      <c r="P126" s="46">
        <f>72125</f>
        <v>72125</v>
      </c>
      <c r="Q126" s="46">
        <f t="shared" si="24"/>
        <v>33773.410000000003</v>
      </c>
      <c r="R126" s="125"/>
    </row>
    <row r="127" spans="1:18" ht="14.25" hidden="1" customHeight="1" x14ac:dyDescent="0.25">
      <c r="A127" s="16" t="s">
        <v>137</v>
      </c>
      <c r="B127" s="15">
        <f>SUM(Membership!B115+GA!B115+Education!B115+Events!B116+Communications!B115+Admin!B115)</f>
        <v>0</v>
      </c>
      <c r="C127" s="15">
        <f>SUM(Membership!C115+GA!C115+Education!C115+Events!C116+Communications!C115+Admin!C115)</f>
        <v>0</v>
      </c>
      <c r="D127" s="15">
        <f>SUM(Membership!D115+GA!D115+Education!D115+Events!D116+Communications!D115+Admin!D115)</f>
        <v>0</v>
      </c>
      <c r="E127" s="15">
        <f>SUM(Membership!E115+GA!E115+Education!E115+Events!E116+Communications!E115+Admin!E115)</f>
        <v>0</v>
      </c>
      <c r="F127" s="15">
        <f>SUM(Membership!F115+GA!F115+Education!F115+Events!F116+Communications!F115+Admin!F115)</f>
        <v>0</v>
      </c>
      <c r="G127" s="15">
        <f>SUM(Membership!G115+GA!G115+Education!G115+Events!G116+Communications!G115+Admin!G115)</f>
        <v>0</v>
      </c>
      <c r="H127" s="15">
        <f>SUM(Membership!H115+GA!H115+Education!H115+Events!H116+Communications!H115+Admin!H115)</f>
        <v>0</v>
      </c>
      <c r="I127" s="15">
        <f>SUM(Membership!I115+GA!I115+Education!I115+Events!I116+Communications!I115+Admin!I115)</f>
        <v>0</v>
      </c>
      <c r="J127" s="15">
        <f>SUM(Membership!J115+GA!J115+Education!J115+Events!J116+Communications!J115+Admin!J115)</f>
        <v>0</v>
      </c>
      <c r="K127" s="15">
        <f>SUM(Membership!K115+GA!K115+Education!K115+Events!K116+Communications!K115+Admin!K115)</f>
        <v>0</v>
      </c>
      <c r="L127" s="15">
        <f>SUM(Membership!L115+GA!L115+Education!L115+Events!L116+Communications!L115+Admin!L115)</f>
        <v>0</v>
      </c>
      <c r="M127" s="15">
        <f>SUM(Membership!M115+GA!M115+Education!M115+Events!M116+Communications!M115+Admin!M115)</f>
        <v>0</v>
      </c>
      <c r="N127" s="15">
        <f t="shared" si="23"/>
        <v>0</v>
      </c>
      <c r="O127" s="46"/>
      <c r="P127" s="46"/>
      <c r="Q127" s="46">
        <f t="shared" si="24"/>
        <v>0</v>
      </c>
      <c r="R127" s="125"/>
    </row>
    <row r="128" spans="1:18" ht="14.25" customHeight="1" x14ac:dyDescent="0.25">
      <c r="A128" s="30" t="s">
        <v>159</v>
      </c>
      <c r="B128" s="31">
        <f>SUM(B118:B127)</f>
        <v>2750</v>
      </c>
      <c r="C128" s="31">
        <f t="shared" ref="C128:M128" si="25">SUM(C118:C127)</f>
        <v>58484.25</v>
      </c>
      <c r="D128" s="31">
        <f t="shared" si="25"/>
        <v>6075</v>
      </c>
      <c r="E128" s="31">
        <f t="shared" si="25"/>
        <v>10586.25</v>
      </c>
      <c r="F128" s="31">
        <f t="shared" si="25"/>
        <v>29031.360000000001</v>
      </c>
      <c r="G128" s="31">
        <f t="shared" si="25"/>
        <v>26247.31</v>
      </c>
      <c r="H128" s="31">
        <f t="shared" si="25"/>
        <v>6075</v>
      </c>
      <c r="I128" s="31">
        <f t="shared" si="25"/>
        <v>0</v>
      </c>
      <c r="J128" s="31">
        <f t="shared" si="25"/>
        <v>72125</v>
      </c>
      <c r="K128" s="31">
        <f t="shared" si="25"/>
        <v>25955</v>
      </c>
      <c r="L128" s="31">
        <f t="shared" si="25"/>
        <v>21720</v>
      </c>
      <c r="M128" s="31">
        <f t="shared" si="25"/>
        <v>0</v>
      </c>
      <c r="N128" s="31">
        <f>SUM(B128:M128)</f>
        <v>259049.17</v>
      </c>
      <c r="O128" s="48">
        <f>SUM(O118:O127)</f>
        <v>113351.12000000001</v>
      </c>
      <c r="P128" s="48">
        <f>SUM(P118:P127)</f>
        <v>201823</v>
      </c>
      <c r="Q128" s="48">
        <f t="shared" si="24"/>
        <v>145698.04999999999</v>
      </c>
      <c r="R128" s="125"/>
    </row>
    <row r="129" spans="1:18" s="34" customFormat="1" ht="14.25" customHeight="1" x14ac:dyDescent="0.25">
      <c r="A129" s="32" t="s">
        <v>138</v>
      </c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6"/>
      <c r="O129" s="49"/>
      <c r="P129" s="49"/>
      <c r="Q129" s="49"/>
      <c r="R129" s="126"/>
    </row>
    <row r="130" spans="1:18" ht="14.25" customHeight="1" x14ac:dyDescent="0.25">
      <c r="A130" s="16" t="s">
        <v>139</v>
      </c>
      <c r="B130" s="15">
        <f>SUM(Membership!B117+GA!B117+Education!B117+Events!B119+Communications!B117+Admin!B117)</f>
        <v>0</v>
      </c>
      <c r="C130" s="15">
        <f>SUM(Membership!C117+GA!C117+Education!C117+Events!C119+Communications!C117+Admin!C117)</f>
        <v>0</v>
      </c>
      <c r="D130" s="15">
        <f>SUM(Membership!D117+GA!D117+Education!D117+Events!D119+Communications!D117+Admin!D117)</f>
        <v>0</v>
      </c>
      <c r="E130" s="15">
        <f>SUM(Membership!E117+GA!E117+Education!E117+Events!E119+Communications!E117+Admin!E117)</f>
        <v>0</v>
      </c>
      <c r="F130" s="15">
        <f>SUM(Membership!F117+GA!F117+Education!F117+Events!F119+Communications!F117+Admin!F117)</f>
        <v>0</v>
      </c>
      <c r="G130" s="15">
        <f>SUM(Membership!G117+GA!G117+Education!G117+Events!G119+Communications!G117+Admin!G117)</f>
        <v>0</v>
      </c>
      <c r="H130" s="15">
        <f>SUM(Membership!H117+GA!H117+Education!H117+Events!H119+Communications!H117+Admin!H117)</f>
        <v>0</v>
      </c>
      <c r="I130" s="15">
        <f>SUM(Membership!I117+GA!I117+Education!I117+Events!I119+Communications!I117+Admin!I117)</f>
        <v>0</v>
      </c>
      <c r="J130" s="15">
        <f>SUM(Membership!J117+GA!J117+Education!J117+Events!J119+Communications!J117+Admin!J117)</f>
        <v>0</v>
      </c>
      <c r="K130" s="15">
        <f>SUM(Membership!K117+GA!K117+Education!K117+Events!K119+Communications!K117+Admin!K117)</f>
        <v>0</v>
      </c>
      <c r="L130" s="15">
        <f>SUM(Membership!L117+GA!L117+Education!L117+Events!L119+Communications!L117+Admin!L117)</f>
        <v>0</v>
      </c>
      <c r="M130" s="15">
        <f>SUM(Membership!M117+GA!M117+Education!M117+Events!M119+Communications!M117+Admin!M117)</f>
        <v>0</v>
      </c>
      <c r="N130" s="15">
        <f t="shared" ref="N130:N132" si="26">SUM(B130:M130)</f>
        <v>0</v>
      </c>
      <c r="O130" s="46">
        <v>0</v>
      </c>
      <c r="P130" s="46">
        <f>600</f>
        <v>600</v>
      </c>
      <c r="Q130" s="46">
        <f>N130-O130</f>
        <v>0</v>
      </c>
      <c r="R130" s="125"/>
    </row>
    <row r="131" spans="1:18" ht="14.25" customHeight="1" x14ac:dyDescent="0.25">
      <c r="A131" s="16" t="s">
        <v>140</v>
      </c>
      <c r="B131" s="15">
        <f>SUM(Membership!B118+GA!B118+Education!B118+Events!B120+Communications!B118+Admin!B118)</f>
        <v>0</v>
      </c>
      <c r="C131" s="15">
        <f>SUM(Membership!C118+GA!C118+Education!C118+Events!C120+Communications!C118+Admin!C118)</f>
        <v>0</v>
      </c>
      <c r="D131" s="15">
        <f>SUM(Membership!D118+GA!D118+Education!D118+Events!D120+Communications!D118+Admin!D118)</f>
        <v>0</v>
      </c>
      <c r="E131" s="15">
        <f>SUM(Membership!E118+GA!E118+Education!E118+Events!E120+Communications!E118+Admin!E118)</f>
        <v>0</v>
      </c>
      <c r="F131" s="15">
        <f>SUM(Membership!F118+GA!F118+Education!F118+Events!F120+Communications!F118+Admin!F118)</f>
        <v>0</v>
      </c>
      <c r="G131" s="15">
        <f>SUM(Membership!G118+GA!G118+Education!G118+Events!G120+Communications!G118+Admin!G118)</f>
        <v>0</v>
      </c>
      <c r="H131" s="15">
        <f>SUM(Membership!H118+GA!H118+Education!H118+Events!H120+Communications!H118+Admin!H118)</f>
        <v>0</v>
      </c>
      <c r="I131" s="15">
        <f>SUM(Membership!I118+GA!I118+Education!I118+Events!I120+Communications!I118+Admin!I118)</f>
        <v>500</v>
      </c>
      <c r="J131" s="15">
        <f>SUM(Membership!J118+GA!J118+Education!J118+Events!J120+Communications!J118+Admin!J118)</f>
        <v>1650</v>
      </c>
      <c r="K131" s="15">
        <f>SUM(Membership!K118+GA!K118+Education!K118+Events!K120+Communications!K118+Admin!K118)</f>
        <v>0</v>
      </c>
      <c r="L131" s="15">
        <f>SUM(Membership!L118+GA!L118+Education!L118+Events!L120+Communications!L118+Admin!L118)</f>
        <v>0</v>
      </c>
      <c r="M131" s="15">
        <f>SUM(Membership!M118+GA!M118+Education!M118+Events!M120+Communications!M118+Admin!M118)</f>
        <v>0</v>
      </c>
      <c r="N131" s="15">
        <f t="shared" si="26"/>
        <v>2150</v>
      </c>
      <c r="O131" s="46">
        <f>1996.5</f>
        <v>1996.5</v>
      </c>
      <c r="P131" s="46">
        <f>2150</f>
        <v>2150</v>
      </c>
      <c r="Q131" s="46">
        <f>N131-O131</f>
        <v>153.5</v>
      </c>
      <c r="R131" s="125"/>
    </row>
    <row r="132" spans="1:18" ht="14.25" customHeight="1" x14ac:dyDescent="0.25">
      <c r="A132" s="16" t="s">
        <v>141</v>
      </c>
      <c r="B132" s="15">
        <f>SUM(Membership!B119+GA!B119+Education!B119+Events!B121+Communications!B119+Admin!B119)</f>
        <v>560</v>
      </c>
      <c r="C132" s="15">
        <f>SUM(Membership!C119+GA!C119+Education!C119+Events!C121+Communications!C119+Admin!C119)</f>
        <v>60</v>
      </c>
      <c r="D132" s="15">
        <f>SUM(Membership!D119+GA!D119+Education!D119+Events!D121+Communications!D119+Admin!D119)</f>
        <v>60</v>
      </c>
      <c r="E132" s="15">
        <f>SUM(Membership!E119+GA!E119+Education!E119+Events!E121+Communications!E119+Admin!E119)</f>
        <v>60</v>
      </c>
      <c r="F132" s="15">
        <f>SUM(Membership!F119+GA!F119+Education!F119+Events!F121+Communications!F119+Admin!F119)</f>
        <v>60</v>
      </c>
      <c r="G132" s="15">
        <f>SUM(Membership!G119+GA!G119+Education!G119+Events!G121+Communications!G119+Admin!G119)</f>
        <v>60</v>
      </c>
      <c r="H132" s="15">
        <f>SUM(Membership!H119+GA!H119+Education!H119+Events!H121+Communications!H119+Admin!H119)</f>
        <v>60</v>
      </c>
      <c r="I132" s="15">
        <f>SUM(Membership!I119+GA!I119+Education!I119+Events!I121+Communications!I119+Admin!I119)</f>
        <v>60</v>
      </c>
      <c r="J132" s="15">
        <f>SUM(Membership!J119+GA!J119+Education!J119+Events!J121+Communications!J119+Admin!J119)</f>
        <v>60</v>
      </c>
      <c r="K132" s="15">
        <f>SUM(Membership!K119+GA!K119+Education!K119+Events!K121+Communications!K119+Admin!K119)</f>
        <v>60</v>
      </c>
      <c r="L132" s="15">
        <f>SUM(Membership!L119+GA!L119+Education!L119+Events!L121+Communications!L119+Admin!L119)</f>
        <v>60</v>
      </c>
      <c r="M132" s="15">
        <f>SUM(Membership!M119+GA!M119+Education!M119+Events!M121+Communications!M119+Admin!M119)</f>
        <v>60</v>
      </c>
      <c r="N132" s="15">
        <f t="shared" si="26"/>
        <v>1220</v>
      </c>
      <c r="O132" s="46">
        <v>89.55</v>
      </c>
      <c r="P132" s="46">
        <v>620</v>
      </c>
      <c r="Q132" s="46">
        <f t="shared" ref="Q132:Q133" si="27">N132-O132</f>
        <v>1130.45</v>
      </c>
      <c r="R132" s="125"/>
    </row>
    <row r="133" spans="1:18" ht="14.25" hidden="1" customHeight="1" x14ac:dyDescent="0.25">
      <c r="A133" s="14" t="s">
        <v>142</v>
      </c>
      <c r="B133" s="15">
        <f>SUM(Membership!B120+GA!B120+Education!B120+Events!B122+Communications!B120+Admin!B120)</f>
        <v>0</v>
      </c>
      <c r="C133" s="15">
        <f>SUM(Membership!C121+GA!C121+Education!C121+Events!C123+Communications!C121+Admin!C121)</f>
        <v>0</v>
      </c>
      <c r="D133" s="15">
        <f>SUM(Membership!D121+GA!D121+Education!D121+Events!D123+Communications!D121+Admin!D121)</f>
        <v>0</v>
      </c>
      <c r="E133" s="15">
        <f>SUM(Membership!E121+GA!E121+Education!E121+Events!E123+Communications!E121+Admin!E121)</f>
        <v>0</v>
      </c>
      <c r="F133" s="15">
        <f>SUM(Membership!F121+GA!F121+Education!F121+Events!F123+Communications!F121+Admin!F121)</f>
        <v>0</v>
      </c>
      <c r="G133" s="15">
        <f>SUM(Membership!G121+GA!G121+Education!G121+Events!G123+Communications!G121+Admin!G121)</f>
        <v>0</v>
      </c>
      <c r="H133" s="15">
        <f>SUM(Membership!H121+GA!H121+Education!H121+Events!H123+Communications!H121+Admin!H121)</f>
        <v>0</v>
      </c>
      <c r="I133" s="15">
        <f>SUM(Membership!I121+GA!I121+Education!I121+Events!I123+Communications!I121+Admin!I121)</f>
        <v>0</v>
      </c>
      <c r="J133" s="15">
        <f>SUM(Membership!J121+GA!J121+Education!J121+Events!J123+Communications!J121+Admin!J121)</f>
        <v>0</v>
      </c>
      <c r="K133" s="15">
        <f>SUM(Membership!K121+GA!K121+Education!K121+Events!K123+Communications!K121+Admin!K121)</f>
        <v>0</v>
      </c>
      <c r="L133" s="15">
        <f>SUM(Membership!L121+GA!L121+Education!L121+Events!L123+Communications!L121+Admin!L121)</f>
        <v>0</v>
      </c>
      <c r="M133" s="15">
        <f>SUM(Membership!M121+GA!M121+Education!M121+Events!M123+Communications!M121+Admin!M121)</f>
        <v>0</v>
      </c>
      <c r="O133" s="46"/>
      <c r="P133" s="46"/>
      <c r="Q133" s="46">
        <f t="shared" si="27"/>
        <v>0</v>
      </c>
      <c r="R133" s="125"/>
    </row>
    <row r="134" spans="1:18" ht="14.25" hidden="1" customHeight="1" x14ac:dyDescent="0.25">
      <c r="A134" s="30" t="s">
        <v>160</v>
      </c>
      <c r="B134" s="31">
        <f>SUM(B130:B133)</f>
        <v>560</v>
      </c>
      <c r="C134" s="31">
        <f t="shared" ref="C134:M134" si="28">SUM(C130:C133)</f>
        <v>60</v>
      </c>
      <c r="D134" s="31">
        <f t="shared" si="28"/>
        <v>60</v>
      </c>
      <c r="E134" s="31">
        <f t="shared" si="28"/>
        <v>60</v>
      </c>
      <c r="F134" s="31">
        <f t="shared" si="28"/>
        <v>60</v>
      </c>
      <c r="G134" s="31">
        <f t="shared" si="28"/>
        <v>60</v>
      </c>
      <c r="H134" s="31">
        <f t="shared" si="28"/>
        <v>60</v>
      </c>
      <c r="I134" s="31">
        <f t="shared" si="28"/>
        <v>560</v>
      </c>
      <c r="J134" s="31">
        <f t="shared" si="28"/>
        <v>1710</v>
      </c>
      <c r="K134" s="31">
        <f t="shared" si="28"/>
        <v>60</v>
      </c>
      <c r="L134" s="31">
        <f t="shared" si="28"/>
        <v>60</v>
      </c>
      <c r="M134" s="31">
        <f t="shared" si="28"/>
        <v>60</v>
      </c>
      <c r="N134" s="40">
        <f>SUM(B134:M134)</f>
        <v>3370</v>
      </c>
      <c r="O134" s="48">
        <f>SUM(O130:O133)</f>
        <v>2086.0500000000002</v>
      </c>
      <c r="P134" s="48">
        <f t="shared" ref="P134:Q134" si="29">SUM(P130:P133)</f>
        <v>3370</v>
      </c>
      <c r="Q134" s="48">
        <f t="shared" si="29"/>
        <v>1283.95</v>
      </c>
      <c r="R134" s="125"/>
    </row>
    <row r="135" spans="1:18" s="38" customFormat="1" ht="14.25" hidden="1" customHeight="1" x14ac:dyDescent="0.25">
      <c r="A135" s="35" t="s">
        <v>143</v>
      </c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50"/>
      <c r="P135" s="50"/>
      <c r="Q135" s="50"/>
      <c r="R135" s="50"/>
    </row>
    <row r="136" spans="1:18" ht="14.25" hidden="1" customHeight="1" x14ac:dyDescent="0.25">
      <c r="A136" s="16" t="s">
        <v>144</v>
      </c>
      <c r="B136" s="15">
        <f>SUM(Membership!B122+GA!B12+Education!B122+Events!B124+Communications!B122+Admin!B122)</f>
        <v>16.5</v>
      </c>
      <c r="C136" s="15">
        <f>SUM(Membership!C122+GA!C12+Education!C122+Events!C124+Communications!C122+Admin!C122)</f>
        <v>231</v>
      </c>
      <c r="D136" s="15">
        <f>SUM(Membership!D122+GA!D12+Education!D122+Events!D124+Communications!D122+Admin!D122)</f>
        <v>264</v>
      </c>
      <c r="E136" s="15">
        <f>SUM(Membership!E122+GA!E12+Education!E122+Events!E124+Communications!E122+Admin!E122)</f>
        <v>231</v>
      </c>
      <c r="F136" s="15">
        <f>SUM(Membership!F122+GA!F12+Education!F122+Events!F124+Communications!F122+Admin!F122)</f>
        <v>198</v>
      </c>
      <c r="G136" s="15">
        <f>SUM(Membership!G122+GA!G12+Education!G122+Events!G124+Communications!G122+Admin!G122)</f>
        <v>148.5</v>
      </c>
      <c r="H136" s="15">
        <f>SUM(Membership!H122+GA!H12+Education!H122+Events!H124+Communications!H122+Admin!H122)</f>
        <v>148.5</v>
      </c>
      <c r="I136" s="15">
        <f>SUM(Membership!I122+GA!I12+Education!I122+Events!I124+Communications!I122+Admin!I122)</f>
        <v>148.5</v>
      </c>
      <c r="J136" s="15">
        <f>SUM(Membership!J122+GA!J12+Education!J122+Events!J124+Communications!J122+Admin!J122)</f>
        <v>148.5</v>
      </c>
      <c r="K136" s="15">
        <f>SUM(Membership!K122+GA!K12+Education!K122+Events!K124+Communications!K122+Admin!K122)</f>
        <v>148.5</v>
      </c>
      <c r="L136" s="15">
        <f>SUM(Membership!L122+GA!L12+Education!L122+Events!L124+Communications!L122+Admin!L122)</f>
        <v>148.5</v>
      </c>
      <c r="M136" s="15">
        <f>SUM(Membership!M122+GA!M12+Education!M122+Events!M124+Communications!M122+Admin!M122)</f>
        <v>148.5</v>
      </c>
      <c r="N136" s="15">
        <f t="shared" ref="N136:N145" si="30">SUM(B136:M136)</f>
        <v>1980</v>
      </c>
      <c r="O136" s="46">
        <f>1243.55</f>
        <v>1243.55</v>
      </c>
      <c r="P136" s="46">
        <f>3399.96</f>
        <v>3399.96</v>
      </c>
      <c r="Q136" s="46">
        <f>N136-O136</f>
        <v>736.45</v>
      </c>
      <c r="R136" s="125"/>
    </row>
    <row r="137" spans="1:18" ht="14.25" hidden="1" customHeight="1" x14ac:dyDescent="0.25">
      <c r="A137" s="16" t="s">
        <v>145</v>
      </c>
      <c r="B137" s="15">
        <f>SUM(Membership!B123+GA!B13+Education!B123+Events!B125+Communications!B123+Admin!B123)</f>
        <v>42</v>
      </c>
      <c r="C137" s="15">
        <f>SUM(Membership!C123+GA!C13+Education!C123+Events!C125+Communications!C123+Admin!C123)</f>
        <v>42</v>
      </c>
      <c r="D137" s="15">
        <f>SUM(Membership!D123+GA!D13+Education!D123+Events!D125+Communications!D123+Admin!D123)</f>
        <v>42</v>
      </c>
      <c r="E137" s="15">
        <f>SUM(Membership!E123+GA!E13+Education!E123+Events!E125+Communications!E123+Admin!E123)</f>
        <v>42</v>
      </c>
      <c r="F137" s="15">
        <f>SUM(Membership!F123+GA!F13+Education!F123+Events!F125+Communications!F123+Admin!F123)</f>
        <v>42</v>
      </c>
      <c r="G137" s="15">
        <f>SUM(Membership!G123+GA!G13+Education!G123+Events!G125+Communications!G123+Admin!G123)</f>
        <v>42</v>
      </c>
      <c r="H137" s="15">
        <f>SUM(Membership!H123+GA!H13+Education!H123+Events!H125+Communications!H123+Admin!H123)</f>
        <v>42</v>
      </c>
      <c r="I137" s="15">
        <f>SUM(Membership!I123+GA!I13+Education!I123+Events!I125+Communications!I123+Admin!I123)</f>
        <v>42</v>
      </c>
      <c r="J137" s="15">
        <f>SUM(Membership!J123+GA!J13+Education!J123+Events!J125+Communications!J123+Admin!J123)</f>
        <v>42</v>
      </c>
      <c r="K137" s="15">
        <f>SUM(Membership!K123+GA!K13+Education!K123+Events!K125+Communications!K123+Admin!K123)</f>
        <v>42</v>
      </c>
      <c r="L137" s="15">
        <f>SUM(Membership!L123+GA!L13+Education!L123+Events!L125+Communications!L123+Admin!L123)</f>
        <v>42</v>
      </c>
      <c r="M137" s="15">
        <f>SUM(Membership!M123+GA!M13+Education!M123+Events!M125+Communications!M123+Admin!M123)</f>
        <v>42</v>
      </c>
      <c r="N137" s="15">
        <f t="shared" si="30"/>
        <v>504</v>
      </c>
      <c r="O137" s="46">
        <f>388.2</f>
        <v>388.2</v>
      </c>
      <c r="P137" s="46">
        <f>927.48</f>
        <v>927.48</v>
      </c>
      <c r="Q137" s="46">
        <f>N137-O137</f>
        <v>115.80000000000001</v>
      </c>
      <c r="R137" s="125"/>
    </row>
    <row r="138" spans="1:18" ht="14.25" hidden="1" customHeight="1" x14ac:dyDescent="0.25">
      <c r="A138" s="16" t="s">
        <v>146</v>
      </c>
      <c r="B138" s="15">
        <f>SUM(Membership!B124+GA!B14+Education!B124+Events!B126+Communications!B124+Admin!B124)</f>
        <v>0</v>
      </c>
      <c r="C138" s="15">
        <f>SUM(Membership!C124+GA!C14+Education!C124+Events!C126+Communications!C124+Admin!C124)</f>
        <v>0</v>
      </c>
      <c r="D138" s="15">
        <f>SUM(Membership!D124+GA!D14+Education!D124+Events!D126+Communications!D124+Admin!D124)</f>
        <v>0</v>
      </c>
      <c r="E138" s="15">
        <f>SUM(Membership!E124+GA!E14+Education!E124+Events!E126+Communications!E124+Admin!E124)</f>
        <v>0</v>
      </c>
      <c r="F138" s="15">
        <f>SUM(Membership!F124+GA!F14+Education!F124+Events!F126+Communications!F124+Admin!F124)</f>
        <v>0</v>
      </c>
      <c r="G138" s="15">
        <f>SUM(Membership!G124+GA!G14+Education!G124+Events!G126+Communications!G124+Admin!G124)</f>
        <v>0</v>
      </c>
      <c r="H138" s="15">
        <f>SUM(Membership!H124+GA!H14+Education!H124+Events!H126+Communications!H124+Admin!H124)</f>
        <v>0</v>
      </c>
      <c r="I138" s="15">
        <f>SUM(Membership!I124+GA!I14+Education!I124+Events!I126+Communications!I124+Admin!I124)</f>
        <v>0</v>
      </c>
      <c r="J138" s="15">
        <f>SUM(Membership!J124+GA!J14+Education!J124+Events!J126+Communications!J124+Admin!J124)</f>
        <v>0</v>
      </c>
      <c r="K138" s="15">
        <f>SUM(Membership!K124+GA!K14+Education!K124+Events!K126+Communications!K124+Admin!K124)</f>
        <v>0</v>
      </c>
      <c r="L138" s="15">
        <f>SUM(Membership!L124+GA!L14+Education!L124+Events!L126+Communications!L124+Admin!L124)</f>
        <v>0</v>
      </c>
      <c r="M138" s="15">
        <f>SUM(Membership!M124+GA!M14+Education!M124+Events!M126+Communications!M124+Admin!M124)</f>
        <v>0</v>
      </c>
      <c r="N138" s="15">
        <f t="shared" si="30"/>
        <v>0</v>
      </c>
      <c r="O138" s="46"/>
      <c r="P138" s="46"/>
      <c r="Q138" s="46">
        <f t="shared" ref="Q138:Q139" si="31">N138-O138</f>
        <v>0</v>
      </c>
      <c r="R138" s="125"/>
    </row>
    <row r="139" spans="1:18" ht="14.25" hidden="1" customHeight="1" x14ac:dyDescent="0.25">
      <c r="A139" s="16" t="s">
        <v>147</v>
      </c>
      <c r="B139" s="15">
        <f>SUM(Membership!B125+GA!B15+Education!B125+Events!B127+Communications!B125+Admin!B125)</f>
        <v>0</v>
      </c>
      <c r="C139" s="15">
        <f>SUM(Membership!C125+GA!C15+Education!C125+Events!C127+Communications!C125+Admin!C125)</f>
        <v>0</v>
      </c>
      <c r="D139" s="15">
        <f>SUM(Membership!D125+GA!D15+Education!D125+Events!D127+Communications!D125+Admin!D125)</f>
        <v>90</v>
      </c>
      <c r="E139" s="15">
        <f>SUM(Membership!E125+GA!E15+Education!E125+Events!E127+Communications!E125+Admin!E125)</f>
        <v>90</v>
      </c>
      <c r="F139" s="15">
        <f>SUM(Membership!F125+GA!F15+Education!F125+Events!F127+Communications!F125+Admin!F125)</f>
        <v>90</v>
      </c>
      <c r="G139" s="15">
        <f>SUM(Membership!G125+GA!G15+Education!G125+Events!G127+Communications!G125+Admin!G125)</f>
        <v>90</v>
      </c>
      <c r="H139" s="15">
        <f>SUM(Membership!H125+GA!H15+Education!H125+Events!H127+Communications!H125+Admin!H125)</f>
        <v>90</v>
      </c>
      <c r="I139" s="15">
        <f>SUM(Membership!I125+GA!I15+Education!I125+Events!I127+Communications!I125+Admin!I125)</f>
        <v>90</v>
      </c>
      <c r="J139" s="15">
        <f>SUM(Membership!J125+GA!J15+Education!J125+Events!J127+Communications!J125+Admin!J125)</f>
        <v>90</v>
      </c>
      <c r="K139" s="15">
        <f>SUM(Membership!K125+GA!K15+Education!K125+Events!K127+Communications!K125+Admin!K125)</f>
        <v>90</v>
      </c>
      <c r="L139" s="15">
        <f>SUM(Membership!L125+GA!L15+Education!L125+Events!L127+Communications!L125+Admin!L125)</f>
        <v>90</v>
      </c>
      <c r="M139" s="15">
        <f>SUM(Membership!M125+GA!M15+Education!M125+Events!M127+Communications!M125+Admin!M125)</f>
        <v>90</v>
      </c>
      <c r="N139" s="15">
        <f t="shared" si="30"/>
        <v>900</v>
      </c>
      <c r="O139" s="46">
        <f>178.1</f>
        <v>178.1</v>
      </c>
      <c r="P139" s="46">
        <f>710.04</f>
        <v>710.04</v>
      </c>
      <c r="Q139" s="46">
        <f t="shared" si="31"/>
        <v>721.9</v>
      </c>
      <c r="R139" s="125"/>
    </row>
    <row r="140" spans="1:18" ht="14.25" hidden="1" customHeight="1" x14ac:dyDescent="0.25">
      <c r="A140" s="16" t="s">
        <v>148</v>
      </c>
      <c r="B140" s="15">
        <f>SUM(Membership!B127+GA!B127+Education!B127+Events!B129+Communications!B127+Admin!B127)</f>
        <v>0</v>
      </c>
      <c r="C140" s="15">
        <f>SUM(Membership!C127+GA!C127+Education!C127+Events!C129+Communications!C127+Admin!C127)</f>
        <v>0</v>
      </c>
      <c r="D140" s="15">
        <f>SUM(Membership!D127+GA!D127+Education!D127+Events!D129+Communications!D127+Admin!D127)</f>
        <v>0</v>
      </c>
      <c r="E140" s="15">
        <f>SUM(Membership!E127+GA!E127+Education!E127+Events!E129+Communications!E127+Admin!E127)</f>
        <v>0</v>
      </c>
      <c r="F140" s="15">
        <f>SUM(Membership!F127+GA!F127+Education!F127+Events!F129+Communications!F127+Admin!F127)</f>
        <v>0</v>
      </c>
      <c r="G140" s="15">
        <f>SUM(Membership!G127+GA!G127+Education!G127+Events!G129+Communications!G127+Admin!G127)</f>
        <v>0</v>
      </c>
      <c r="H140" s="15">
        <f>SUM(Membership!H127+GA!H127+Education!H127+Events!H129+Communications!H127+Admin!H127)</f>
        <v>0</v>
      </c>
      <c r="I140" s="15">
        <f>SUM(Membership!I127+GA!I127+Education!I127+Events!I129+Communications!I127+Admin!I127)</f>
        <v>0</v>
      </c>
      <c r="J140" s="15">
        <f>SUM(Membership!J127+GA!J127+Education!J127+Events!J129+Communications!J127+Admin!J127)</f>
        <v>0</v>
      </c>
      <c r="K140" s="15">
        <f>SUM(Membership!K127+GA!K127+Education!K127+Events!K129+Communications!K127+Admin!K127)</f>
        <v>0</v>
      </c>
      <c r="L140" s="15">
        <f>SUM(Membership!L127+GA!L127+Education!L127+Events!L129+Communications!L127+Admin!L127)</f>
        <v>0</v>
      </c>
      <c r="M140" s="15">
        <f>SUM(Membership!M127+GA!M127+Education!M127+Events!M129+Communications!M127+Admin!M127)</f>
        <v>0</v>
      </c>
      <c r="N140" s="15">
        <f t="shared" si="30"/>
        <v>0</v>
      </c>
      <c r="O140" s="46"/>
      <c r="P140" s="46"/>
      <c r="Q140" s="46"/>
      <c r="R140" s="125"/>
    </row>
    <row r="141" spans="1:18" ht="14.25" hidden="1" customHeight="1" x14ac:dyDescent="0.25">
      <c r="A141" s="30" t="s">
        <v>162</v>
      </c>
      <c r="B141" s="15">
        <f>SUM(B136:B140)</f>
        <v>58.5</v>
      </c>
      <c r="C141" s="15">
        <f t="shared" ref="C141:M141" si="32">SUM(C136:C140)</f>
        <v>273</v>
      </c>
      <c r="D141" s="15">
        <f t="shared" si="32"/>
        <v>396</v>
      </c>
      <c r="E141" s="15">
        <f t="shared" si="32"/>
        <v>363</v>
      </c>
      <c r="F141" s="15">
        <f t="shared" si="32"/>
        <v>330</v>
      </c>
      <c r="G141" s="15">
        <f t="shared" si="32"/>
        <v>280.5</v>
      </c>
      <c r="H141" s="15">
        <f t="shared" si="32"/>
        <v>280.5</v>
      </c>
      <c r="I141" s="15">
        <f t="shared" si="32"/>
        <v>280.5</v>
      </c>
      <c r="J141" s="15">
        <f t="shared" si="32"/>
        <v>280.5</v>
      </c>
      <c r="K141" s="15">
        <f t="shared" si="32"/>
        <v>280.5</v>
      </c>
      <c r="L141" s="15">
        <f t="shared" si="32"/>
        <v>280.5</v>
      </c>
      <c r="M141" s="15">
        <f t="shared" si="32"/>
        <v>280.5</v>
      </c>
      <c r="N141" s="15">
        <f>SUM(B141:M141)</f>
        <v>3384</v>
      </c>
      <c r="O141" s="48">
        <f>SUM(O136:O140)</f>
        <v>1809.85</v>
      </c>
      <c r="P141" s="48">
        <f t="shared" ref="P141:Q141" si="33">SUM(P136:P140)</f>
        <v>5037.4800000000005</v>
      </c>
      <c r="Q141" s="48">
        <f t="shared" si="33"/>
        <v>1574.15</v>
      </c>
      <c r="R141" s="125"/>
    </row>
    <row r="142" spans="1:18" ht="14.25" hidden="1" customHeight="1" x14ac:dyDescent="0.25">
      <c r="A142" s="16" t="s">
        <v>149</v>
      </c>
      <c r="B142" s="15">
        <f>SUM(Membership!B128+GA!B128+Education!B128+Events!B130+Communications!B128+Admin!B128)</f>
        <v>0</v>
      </c>
      <c r="C142" s="15">
        <f>SUM(Membership!C128+GA!C128+Education!C128+Events!C130+Communications!C128+Admin!C128)</f>
        <v>0</v>
      </c>
      <c r="D142" s="15">
        <f>SUM(Membership!D128+GA!D128+Education!D128+Events!D130+Communications!D128+Admin!D128)</f>
        <v>0</v>
      </c>
      <c r="E142" s="15">
        <f>SUM(Membership!E128+GA!E128+Education!E128+Events!E130+Communications!E128+Admin!E128)</f>
        <v>0</v>
      </c>
      <c r="F142" s="15">
        <f>SUM(Membership!F128+GA!F128+Education!F128+Events!F130+Communications!F128+Admin!F128)</f>
        <v>0</v>
      </c>
      <c r="G142" s="15">
        <f>SUM(Membership!G128+GA!G128+Education!G128+Events!G130+Communications!G128+Admin!G128)</f>
        <v>0</v>
      </c>
      <c r="H142" s="15">
        <f>SUM(Membership!H128+GA!H128+Education!H128+Events!H130+Communications!H128+Admin!H128)</f>
        <v>0</v>
      </c>
      <c r="I142" s="15">
        <f>SUM(Membership!I128+GA!I128+Education!I128+Events!I130+Communications!I128+Admin!I128)</f>
        <v>0</v>
      </c>
      <c r="J142" s="15">
        <f>SUM(Membership!J128+GA!J128+Education!J128+Events!J130+Communications!J128+Admin!J128)</f>
        <v>0</v>
      </c>
      <c r="K142" s="15">
        <f>SUM(Membership!K128+GA!K128+Education!K128+Events!K130+Communications!K128+Admin!K128)</f>
        <v>0</v>
      </c>
      <c r="L142" s="15">
        <f>SUM(Membership!L128+GA!L128+Education!L128+Events!L130+Communications!L128+Admin!L128)</f>
        <v>0</v>
      </c>
      <c r="M142" s="15">
        <f>SUM(Membership!M128+GA!M128+Education!M128+Events!M130+Communications!M128+Admin!M128)</f>
        <v>0</v>
      </c>
      <c r="N142" s="15">
        <f t="shared" si="30"/>
        <v>0</v>
      </c>
      <c r="O142" s="46"/>
      <c r="P142" s="46"/>
      <c r="Q142" s="46"/>
      <c r="R142" s="125"/>
    </row>
    <row r="143" spans="1:18" ht="14.25" hidden="1" customHeight="1" x14ac:dyDescent="0.25">
      <c r="A143" s="30" t="s">
        <v>161</v>
      </c>
      <c r="B143" s="31">
        <f>B106+B109+B116+B128+B134+B141+B142</f>
        <v>16702.25</v>
      </c>
      <c r="C143" s="31">
        <f t="shared" ref="C143:M143" si="34">C106+C109+C116+C128+C134+C141+C142</f>
        <v>67497.75</v>
      </c>
      <c r="D143" s="31">
        <f t="shared" si="34"/>
        <v>21551.5</v>
      </c>
      <c r="E143" s="31">
        <f t="shared" si="34"/>
        <v>41972.25</v>
      </c>
      <c r="F143" s="31">
        <f t="shared" si="34"/>
        <v>54151.86</v>
      </c>
      <c r="G143" s="31">
        <f t="shared" si="34"/>
        <v>36055.81</v>
      </c>
      <c r="H143" s="31">
        <f t="shared" si="34"/>
        <v>31707.5</v>
      </c>
      <c r="I143" s="31">
        <f t="shared" si="34"/>
        <v>9583.5</v>
      </c>
      <c r="J143" s="31">
        <f t="shared" si="34"/>
        <v>82443.5</v>
      </c>
      <c r="K143" s="31">
        <f t="shared" si="34"/>
        <v>37081</v>
      </c>
      <c r="L143" s="31">
        <f t="shared" si="34"/>
        <v>31528.5</v>
      </c>
      <c r="M143" s="31">
        <f t="shared" si="34"/>
        <v>9648.5</v>
      </c>
      <c r="N143" s="31">
        <f>SUM(B143:M143)</f>
        <v>439923.92</v>
      </c>
      <c r="O143" s="46"/>
      <c r="P143" s="46"/>
      <c r="Q143" s="46"/>
      <c r="R143" s="125"/>
    </row>
    <row r="144" spans="1:18" ht="14.25" hidden="1" customHeight="1" x14ac:dyDescent="0.25">
      <c r="A144" s="16" t="s">
        <v>150</v>
      </c>
      <c r="B144" s="15">
        <f>SUM(Membership!B129+GA!B129+Education!B129+Events!B131+Communications!B129+Admin!B129)</f>
        <v>0</v>
      </c>
      <c r="C144" s="15">
        <f>SUM(Membership!C129+GA!C129+Education!C129+Events!C131+Communications!C129+Admin!C129)</f>
        <v>0</v>
      </c>
      <c r="D144" s="15">
        <f>SUM(Membership!D129+GA!D129+Education!D129+Events!D131+Communications!D129+Admin!D129)</f>
        <v>0</v>
      </c>
      <c r="E144" s="15">
        <f>SUM(Membership!E129+GA!E129+Education!E129+Events!E131+Communications!E129+Admin!E129)</f>
        <v>0</v>
      </c>
      <c r="F144" s="15">
        <f>SUM(Membership!F129+GA!F129+Education!F129+Events!F131+Communications!F129+Admin!F129)</f>
        <v>0</v>
      </c>
      <c r="G144" s="15">
        <f>SUM(Membership!G129+GA!G129+Education!G129+Events!G131+Communications!G129+Admin!G129)</f>
        <v>0</v>
      </c>
      <c r="H144" s="15">
        <f>SUM(Membership!H129+GA!H129+Education!H129+Events!H131+Communications!H129+Admin!H129)</f>
        <v>0</v>
      </c>
      <c r="I144" s="15">
        <f>SUM(Membership!I129+GA!I129+Education!I129+Events!I131+Communications!I129+Admin!I129)</f>
        <v>0</v>
      </c>
      <c r="J144" s="15">
        <f>SUM(Membership!J129+GA!J129+Education!J129+Events!J131+Communications!J129+Admin!J129)</f>
        <v>0</v>
      </c>
      <c r="K144" s="15">
        <f>SUM(Membership!K129+GA!K129+Education!K129+Events!K131+Communications!K129+Admin!K129)</f>
        <v>0</v>
      </c>
      <c r="L144" s="15">
        <f>SUM(Membership!L129+GA!L129+Education!L129+Events!L131+Communications!L129+Admin!L129)</f>
        <v>0</v>
      </c>
      <c r="M144" s="15">
        <f>SUM(Membership!M129+GA!M129+Education!M129+Events!M131+Communications!M129+Admin!M129)</f>
        <v>0</v>
      </c>
      <c r="N144" s="15">
        <f t="shared" si="30"/>
        <v>0</v>
      </c>
      <c r="O144" s="46"/>
      <c r="P144" s="46"/>
      <c r="Q144" s="46"/>
      <c r="R144" s="125"/>
    </row>
    <row r="145" spans="1:18" ht="14.25" hidden="1" customHeight="1" x14ac:dyDescent="0.25">
      <c r="A145" s="16" t="s">
        <v>151</v>
      </c>
      <c r="B145" s="15">
        <f>SUM(Membership!B132+GA!B130+Education!B130+Events!B132+Communications!B132+Admin!B130)</f>
        <v>118185.32</v>
      </c>
      <c r="C145" s="15">
        <f>SUM(Membership!C132+GA!C130+Education!C130+Events!C132+Communications!C132+Admin!C130)</f>
        <v>147111.44</v>
      </c>
      <c r="D145" s="15">
        <f>SUM(Membership!D132+GA!D130+Education!D130+Events!D132+Communications!D132+Admin!D130)</f>
        <v>94229.574840000001</v>
      </c>
      <c r="E145" s="15">
        <f>SUM(Membership!E132+GA!E130+Education!E130+Events!E132+Communications!E132+Admin!E130)</f>
        <v>117219.71806</v>
      </c>
      <c r="F145" s="15">
        <f>SUM(Membership!F132+GA!F130+Education!F130+Events!F132+Communications!F132+Admin!F130)</f>
        <v>157443.74677</v>
      </c>
      <c r="G145" s="15">
        <f>SUM(Membership!G132+GA!G130+Education!G130+Events!G132+Communications!G132+Admin!G130)</f>
        <v>126489.06419</v>
      </c>
      <c r="H145" s="15">
        <f>SUM(Membership!H132+GA!H130+Education!H130+Events!H132+Communications!H132+Admin!H130)</f>
        <v>116251.51199999999</v>
      </c>
      <c r="I145" s="15">
        <f>SUM(Membership!I132+GA!I130+Education!I130+Events!I132+Communications!I132+Admin!I130)</f>
        <v>64181.431940000009</v>
      </c>
      <c r="J145" s="15">
        <f>SUM(Membership!J132+GA!J130+Education!J130+Events!J132+Communications!J132+Admin!J130)</f>
        <v>210746.33452</v>
      </c>
      <c r="K145" s="15">
        <f>SUM(Membership!K132+GA!K130+Education!K130+Events!K132+Communications!K132+Admin!K130)</f>
        <v>130956.05</v>
      </c>
      <c r="L145" s="15">
        <f>SUM(Membership!L132+GA!L130+Education!L130+Events!L132+Communications!L132+Admin!L130)</f>
        <v>93087.95968</v>
      </c>
      <c r="M145" s="15">
        <f>SUM(Membership!M132+GA!M130+Education!M130+Events!M132+Communications!M132+Admin!M130)</f>
        <v>81798.2929</v>
      </c>
      <c r="N145" s="15">
        <f t="shared" si="30"/>
        <v>1457700.4449</v>
      </c>
      <c r="O145" s="46"/>
      <c r="P145" s="46"/>
      <c r="Q145" s="46"/>
      <c r="R145" s="125"/>
    </row>
    <row r="146" spans="1:18" ht="14.25" hidden="1" customHeight="1" x14ac:dyDescent="0.25">
      <c r="A146" s="39" t="s">
        <v>163</v>
      </c>
      <c r="B146" s="40">
        <f>B60-B143-B144</f>
        <v>170213.07</v>
      </c>
      <c r="C146" s="40">
        <f t="shared" ref="C146:M146" si="35">C60-C143-C144</f>
        <v>120858.69</v>
      </c>
      <c r="D146" s="40">
        <f t="shared" si="35"/>
        <v>116288.07484000002</v>
      </c>
      <c r="E146" s="40">
        <f t="shared" si="35"/>
        <v>120947.46805999998</v>
      </c>
      <c r="F146" s="40">
        <f t="shared" si="35"/>
        <v>149086.88676999998</v>
      </c>
      <c r="G146" s="40">
        <f t="shared" si="35"/>
        <v>123608.25419000001</v>
      </c>
      <c r="H146" s="40">
        <f t="shared" si="35"/>
        <v>99514.011999999988</v>
      </c>
      <c r="I146" s="40">
        <f t="shared" si="35"/>
        <v>93012.931940000009</v>
      </c>
      <c r="J146" s="40">
        <f t="shared" si="35"/>
        <v>169652.83452</v>
      </c>
      <c r="K146" s="40">
        <f t="shared" si="35"/>
        <v>132465.04999999999</v>
      </c>
      <c r="L146" s="40">
        <f t="shared" si="35"/>
        <v>100884.45968</v>
      </c>
      <c r="M146" s="40">
        <f t="shared" si="35"/>
        <v>113105.7929</v>
      </c>
      <c r="N146" s="40">
        <f>SUM(B146:M146)</f>
        <v>1509637.5249000001</v>
      </c>
      <c r="O146" s="46"/>
      <c r="P146" s="46"/>
      <c r="Q146" s="46"/>
      <c r="R146" s="125"/>
    </row>
    <row r="147" spans="1:18" ht="14.25" customHeight="1" x14ac:dyDescent="0.25">
      <c r="O147" s="46"/>
      <c r="P147" s="46"/>
      <c r="Q147" s="46"/>
      <c r="R147" s="125"/>
    </row>
    <row r="148" spans="1:18" ht="14.25" customHeight="1" x14ac:dyDescent="0.25">
      <c r="O148" s="46"/>
      <c r="P148" s="46"/>
      <c r="Q148" s="46"/>
      <c r="R148" s="125"/>
    </row>
    <row r="149" spans="1:18" ht="14.25" customHeight="1" x14ac:dyDescent="0.25">
      <c r="O149" s="46"/>
      <c r="P149" s="46"/>
      <c r="Q149" s="46"/>
      <c r="R149" s="125"/>
    </row>
    <row r="150" spans="1:18" ht="14.25" customHeight="1" x14ac:dyDescent="0.25">
      <c r="O150" s="46"/>
      <c r="P150" s="46"/>
      <c r="Q150" s="46"/>
      <c r="R150" s="125"/>
    </row>
    <row r="151" spans="1:18" ht="14.25" customHeight="1" x14ac:dyDescent="0.25">
      <c r="O151" s="47"/>
      <c r="P151" s="47"/>
      <c r="Q151" s="47"/>
      <c r="R151" s="125"/>
    </row>
    <row r="152" spans="1:18" ht="14.25" customHeight="1" x14ac:dyDescent="0.25">
      <c r="O152" s="47"/>
      <c r="P152" s="47"/>
      <c r="Q152" s="47"/>
      <c r="R152" s="125"/>
    </row>
    <row r="153" spans="1:18" ht="14.25" customHeight="1" x14ac:dyDescent="0.25">
      <c r="O153" s="47"/>
      <c r="P153" s="47"/>
      <c r="Q153" s="47"/>
      <c r="R153" s="125"/>
    </row>
    <row r="154" spans="1:18" ht="14.25" customHeight="1" x14ac:dyDescent="0.25">
      <c r="O154" s="47"/>
      <c r="P154" s="47"/>
      <c r="Q154" s="47"/>
      <c r="R154" s="125"/>
    </row>
    <row r="155" spans="1:18" ht="14.25" customHeight="1" x14ac:dyDescent="0.25">
      <c r="O155" s="47"/>
      <c r="P155" s="47"/>
      <c r="Q155" s="47"/>
      <c r="R155" s="125"/>
    </row>
    <row r="156" spans="1:18" ht="14.25" customHeight="1" x14ac:dyDescent="0.25">
      <c r="O156" s="47"/>
      <c r="P156" s="47"/>
      <c r="Q156" s="47"/>
      <c r="R156" s="125"/>
    </row>
    <row r="157" spans="1:18" ht="14.25" customHeight="1" x14ac:dyDescent="0.25">
      <c r="O157" s="47"/>
      <c r="P157" s="47"/>
      <c r="Q157" s="47"/>
      <c r="R157" s="125"/>
    </row>
    <row r="158" spans="1:18" ht="14.25" customHeight="1" x14ac:dyDescent="0.25">
      <c r="O158" s="47"/>
      <c r="P158" s="47"/>
      <c r="Q158" s="47"/>
      <c r="R158" s="125"/>
    </row>
    <row r="159" spans="1:18" ht="14.25" customHeight="1" x14ac:dyDescent="0.25">
      <c r="O159" s="47"/>
      <c r="P159" s="47"/>
      <c r="Q159" s="47"/>
      <c r="R159" s="125"/>
    </row>
    <row r="160" spans="1:18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  <row r="1005" ht="14.25" customHeight="1" x14ac:dyDescent="0.25"/>
    <row r="1006" ht="14.25" customHeight="1" x14ac:dyDescent="0.25"/>
    <row r="1007" ht="14.25" customHeight="1" x14ac:dyDescent="0.25"/>
    <row r="1008" ht="14.25" customHeight="1" x14ac:dyDescent="0.25"/>
    <row r="1009" ht="14.25" customHeight="1" x14ac:dyDescent="0.25"/>
    <row r="1010" ht="14.25" customHeight="1" x14ac:dyDescent="0.25"/>
    <row r="1011" ht="14.25" customHeight="1" x14ac:dyDescent="0.25"/>
    <row r="1012" ht="14.25" customHeight="1" x14ac:dyDescent="0.25"/>
    <row r="1013" ht="14.25" customHeight="1" x14ac:dyDescent="0.25"/>
    <row r="1014" ht="14.25" customHeight="1" x14ac:dyDescent="0.25"/>
  </sheetData>
  <pageMargins left="0.7" right="0.7" top="0.75" bottom="0.75" header="0" footer="0"/>
  <pageSetup paperSize="5" scale="72" fitToHeight="0" orientation="landscape" r:id="rId1"/>
  <headerFooter>
    <oddHeader>&amp;C2022 Draft Budget
&amp;A</oddHeader>
    <oddFooter>&amp;C&amp;Z&amp;F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Q1000"/>
  <sheetViews>
    <sheetView topLeftCell="A48" zoomScaleNormal="100" workbookViewId="0">
      <selection activeCell="D71" sqref="D71"/>
    </sheetView>
  </sheetViews>
  <sheetFormatPr defaultColWidth="12.625" defaultRowHeight="15" customHeight="1" x14ac:dyDescent="0.2"/>
  <cols>
    <col min="1" max="1" width="32" customWidth="1"/>
    <col min="2" max="14" width="10.75" customWidth="1"/>
    <col min="15" max="15" width="11.375" customWidth="1"/>
    <col min="16" max="16" width="7.625" customWidth="1"/>
    <col min="17" max="17" width="17.125" customWidth="1"/>
    <col min="18" max="26" width="7.625" customWidth="1"/>
  </cols>
  <sheetData>
    <row r="1" spans="1:17" ht="47.25" customHeight="1" x14ac:dyDescent="0.25">
      <c r="A1" s="19" t="s">
        <v>6</v>
      </c>
      <c r="B1" s="20" t="s">
        <v>17</v>
      </c>
      <c r="C1" s="20" t="s">
        <v>18</v>
      </c>
      <c r="D1" s="20" t="s">
        <v>19</v>
      </c>
      <c r="E1" s="20" t="s">
        <v>20</v>
      </c>
      <c r="F1" s="20" t="s">
        <v>21</v>
      </c>
      <c r="G1" s="20" t="s">
        <v>22</v>
      </c>
      <c r="H1" s="20" t="s">
        <v>23</v>
      </c>
      <c r="I1" s="20" t="s">
        <v>24</v>
      </c>
      <c r="J1" s="20" t="s">
        <v>25</v>
      </c>
      <c r="K1" s="20" t="s">
        <v>7</v>
      </c>
      <c r="L1" s="20" t="s">
        <v>8</v>
      </c>
      <c r="M1" s="20" t="s">
        <v>9</v>
      </c>
      <c r="N1" s="59" t="s">
        <v>153</v>
      </c>
      <c r="O1" s="44" t="s">
        <v>171</v>
      </c>
      <c r="P1" s="44" t="s">
        <v>175</v>
      </c>
      <c r="Q1" s="44" t="s">
        <v>176</v>
      </c>
    </row>
    <row r="2" spans="1:17" ht="14.25" customHeight="1" x14ac:dyDescent="0.25">
      <c r="A2" s="21" t="s">
        <v>11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>
        <f t="shared" ref="N2:N42" si="0">SUM(B2:M2)</f>
        <v>0</v>
      </c>
    </row>
    <row r="3" spans="1:17" ht="14.25" customHeight="1" x14ac:dyDescent="0.25">
      <c r="A3" s="21" t="s">
        <v>26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>
        <f t="shared" si="0"/>
        <v>0</v>
      </c>
    </row>
    <row r="4" spans="1:17" ht="14.25" customHeight="1" x14ac:dyDescent="0.25">
      <c r="A4" s="22" t="s">
        <v>27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>
        <f t="shared" si="0"/>
        <v>0</v>
      </c>
    </row>
    <row r="5" spans="1:17" ht="14.25" customHeight="1" x14ac:dyDescent="0.25">
      <c r="A5" s="22" t="s">
        <v>28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>
        <f t="shared" si="0"/>
        <v>0</v>
      </c>
    </row>
    <row r="6" spans="1:17" ht="14.25" customHeight="1" x14ac:dyDescent="0.25">
      <c r="A6" s="22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>
        <f t="shared" si="0"/>
        <v>0</v>
      </c>
    </row>
    <row r="7" spans="1:17" ht="14.25" customHeight="1" x14ac:dyDescent="0.25">
      <c r="A7" s="22" t="s">
        <v>30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>
        <f t="shared" si="0"/>
        <v>0</v>
      </c>
    </row>
    <row r="8" spans="1:17" ht="14.25" customHeight="1" x14ac:dyDescent="0.25">
      <c r="A8" s="22" t="s">
        <v>31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 t="shared" si="0"/>
        <v>0</v>
      </c>
    </row>
    <row r="9" spans="1:17" ht="14.25" customHeight="1" x14ac:dyDescent="0.25">
      <c r="A9" s="21" t="s">
        <v>32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>
        <f t="shared" si="0"/>
        <v>0</v>
      </c>
    </row>
    <row r="10" spans="1:17" ht="14.25" customHeight="1" x14ac:dyDescent="0.25">
      <c r="A10" s="22" t="s">
        <v>33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>
        <f t="shared" si="0"/>
        <v>0</v>
      </c>
    </row>
    <row r="11" spans="1:17" ht="14.25" customHeight="1" x14ac:dyDescent="0.25">
      <c r="A11" s="22" t="s">
        <v>34</v>
      </c>
      <c r="B11" s="18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>
        <f t="shared" si="0"/>
        <v>0</v>
      </c>
    </row>
    <row r="12" spans="1:17" ht="14.25" customHeight="1" x14ac:dyDescent="0.25">
      <c r="A12" s="22" t="s">
        <v>35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>
        <f t="shared" si="0"/>
        <v>0</v>
      </c>
    </row>
    <row r="13" spans="1:17" ht="14.25" customHeight="1" x14ac:dyDescent="0.25">
      <c r="A13" s="22" t="s">
        <v>36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>
        <f t="shared" si="0"/>
        <v>0</v>
      </c>
    </row>
    <row r="14" spans="1:17" ht="14.25" customHeight="1" x14ac:dyDescent="0.25">
      <c r="A14" s="22" t="s">
        <v>37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>
        <f t="shared" si="0"/>
        <v>0</v>
      </c>
    </row>
    <row r="15" spans="1:17" ht="14.25" customHeight="1" x14ac:dyDescent="0.25">
      <c r="A15" s="22" t="s">
        <v>38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>
        <f t="shared" si="0"/>
        <v>0</v>
      </c>
    </row>
    <row r="16" spans="1:17" ht="14.25" customHeight="1" x14ac:dyDescent="0.25">
      <c r="A16" s="22" t="s">
        <v>39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>
        <f t="shared" si="0"/>
        <v>0</v>
      </c>
    </row>
    <row r="17" spans="1:14" ht="14.25" customHeight="1" x14ac:dyDescent="0.25">
      <c r="A17" s="22" t="s">
        <v>40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>
        <f t="shared" si="0"/>
        <v>0</v>
      </c>
    </row>
    <row r="18" spans="1:14" ht="14.25" customHeight="1" x14ac:dyDescent="0.25">
      <c r="A18" s="22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>
        <f t="shared" si="0"/>
        <v>0</v>
      </c>
    </row>
    <row r="19" spans="1:14" ht="14.25" customHeight="1" x14ac:dyDescent="0.25">
      <c r="A19" s="21" t="s">
        <v>42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 t="shared" si="0"/>
        <v>0</v>
      </c>
    </row>
    <row r="20" spans="1:14" ht="14.25" customHeight="1" x14ac:dyDescent="0.25">
      <c r="A20" s="22" t="s">
        <v>43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>
        <f t="shared" si="0"/>
        <v>0</v>
      </c>
    </row>
    <row r="21" spans="1:14" ht="14.25" customHeight="1" x14ac:dyDescent="0.25">
      <c r="A21" s="22" t="s">
        <v>44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>
        <f t="shared" si="0"/>
        <v>0</v>
      </c>
    </row>
    <row r="22" spans="1:14" ht="14.25" customHeight="1" x14ac:dyDescent="0.25">
      <c r="A22" s="22" t="s">
        <v>45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>
        <f t="shared" si="0"/>
        <v>0</v>
      </c>
    </row>
    <row r="23" spans="1:14" ht="14.25" customHeight="1" x14ac:dyDescent="0.25">
      <c r="A23" s="22" t="s">
        <v>46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>
        <f t="shared" si="0"/>
        <v>0</v>
      </c>
    </row>
    <row r="24" spans="1:14" ht="14.25" customHeight="1" x14ac:dyDescent="0.25">
      <c r="A24" s="22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>
        <f t="shared" si="0"/>
        <v>0</v>
      </c>
    </row>
    <row r="25" spans="1:14" ht="14.25" customHeight="1" x14ac:dyDescent="0.25">
      <c r="A25" s="21" t="s">
        <v>48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>
        <f t="shared" si="0"/>
        <v>0</v>
      </c>
    </row>
    <row r="26" spans="1:14" ht="14.25" customHeight="1" x14ac:dyDescent="0.25">
      <c r="A26" s="22" t="s">
        <v>49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5">
        <f t="shared" si="0"/>
        <v>0</v>
      </c>
    </row>
    <row r="27" spans="1:14" ht="14.25" customHeight="1" x14ac:dyDescent="0.25">
      <c r="A27" s="22" t="s">
        <v>50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>
        <f t="shared" si="0"/>
        <v>0</v>
      </c>
    </row>
    <row r="28" spans="1:14" ht="14.25" customHeight="1" x14ac:dyDescent="0.25">
      <c r="A28" s="22" t="s">
        <v>51</v>
      </c>
      <c r="B28" s="15"/>
      <c r="C28" s="15"/>
      <c r="D28" s="15"/>
      <c r="E28" s="18"/>
      <c r="F28" s="15"/>
      <c r="G28" s="18"/>
      <c r="H28" s="18"/>
      <c r="I28" s="18"/>
      <c r="J28" s="15"/>
      <c r="K28" s="18"/>
      <c r="L28" s="15"/>
      <c r="M28" s="18"/>
      <c r="N28" s="15">
        <f t="shared" si="0"/>
        <v>0</v>
      </c>
    </row>
    <row r="29" spans="1:14" ht="14.25" customHeight="1" x14ac:dyDescent="0.25">
      <c r="A29" s="22" t="s">
        <v>52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>
        <f t="shared" si="0"/>
        <v>0</v>
      </c>
    </row>
    <row r="30" spans="1:14" ht="14.25" customHeight="1" x14ac:dyDescent="0.25">
      <c r="A30" s="22" t="s">
        <v>53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>
        <f t="shared" si="0"/>
        <v>0</v>
      </c>
    </row>
    <row r="31" spans="1:14" ht="14.25" customHeight="1" x14ac:dyDescent="0.25">
      <c r="A31" s="22" t="s">
        <v>54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>
        <f t="shared" si="0"/>
        <v>0</v>
      </c>
    </row>
    <row r="32" spans="1:14" ht="14.25" customHeight="1" x14ac:dyDescent="0.25">
      <c r="A32" s="22" t="s">
        <v>55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5">
        <f t="shared" si="0"/>
        <v>0</v>
      </c>
    </row>
    <row r="33" spans="1:14" ht="14.25" customHeight="1" x14ac:dyDescent="0.25">
      <c r="A33" s="22" t="s">
        <v>56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 t="shared" si="0"/>
        <v>0</v>
      </c>
    </row>
    <row r="34" spans="1:14" ht="14.25" customHeight="1" x14ac:dyDescent="0.25">
      <c r="A34" s="22" t="s">
        <v>57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>
        <f t="shared" si="0"/>
        <v>0</v>
      </c>
    </row>
    <row r="35" spans="1:14" ht="14.25" customHeight="1" x14ac:dyDescent="0.25">
      <c r="A35" s="22" t="s">
        <v>58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5">
        <f t="shared" si="0"/>
        <v>0</v>
      </c>
    </row>
    <row r="36" spans="1:14" ht="14.25" customHeight="1" x14ac:dyDescent="0.25">
      <c r="A36" s="22" t="s">
        <v>59</v>
      </c>
      <c r="B36" s="23">
        <f>21200</f>
        <v>21200</v>
      </c>
      <c r="C36" s="23">
        <f>23500</f>
        <v>23500</v>
      </c>
      <c r="D36" s="23">
        <f>22000</f>
        <v>22000</v>
      </c>
      <c r="E36" s="23">
        <f>25000</f>
        <v>25000</v>
      </c>
      <c r="F36" s="23">
        <f>25000</f>
        <v>25000</v>
      </c>
      <c r="G36" s="23">
        <f>15000</f>
        <v>15000</v>
      </c>
      <c r="H36" s="23">
        <f>21000</f>
        <v>21000</v>
      </c>
      <c r="I36" s="23">
        <f>20000</f>
        <v>20000</v>
      </c>
      <c r="J36" s="23">
        <f>22000</f>
        <v>22000</v>
      </c>
      <c r="K36" s="23">
        <f>22000</f>
        <v>22000</v>
      </c>
      <c r="L36" s="23">
        <f>21000</f>
        <v>21000</v>
      </c>
      <c r="M36" s="23">
        <f>21000</f>
        <v>21000</v>
      </c>
      <c r="N36" s="15">
        <f t="shared" si="0"/>
        <v>258700</v>
      </c>
    </row>
    <row r="37" spans="1:14" ht="14.25" customHeight="1" x14ac:dyDescent="0.25">
      <c r="A37" s="22" t="s">
        <v>60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>
        <f t="shared" si="0"/>
        <v>0</v>
      </c>
    </row>
    <row r="38" spans="1:14" ht="14.25" customHeight="1" x14ac:dyDescent="0.25">
      <c r="A38" s="22" t="s">
        <v>61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>
        <f t="shared" si="0"/>
        <v>0</v>
      </c>
    </row>
    <row r="39" spans="1:14" ht="14.25" customHeight="1" x14ac:dyDescent="0.25">
      <c r="A39" s="22" t="s">
        <v>62</v>
      </c>
      <c r="B39" s="24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6">
        <f t="shared" si="0"/>
        <v>0</v>
      </c>
    </row>
    <row r="40" spans="1:14" ht="14.25" customHeight="1" x14ac:dyDescent="0.25">
      <c r="A40" s="21" t="s">
        <v>63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>
        <f t="shared" si="0"/>
        <v>0</v>
      </c>
    </row>
    <row r="41" spans="1:14" ht="14.25" customHeight="1" x14ac:dyDescent="0.25">
      <c r="A41" s="21" t="s">
        <v>64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>
        <f t="shared" si="0"/>
        <v>0</v>
      </c>
    </row>
    <row r="42" spans="1:14" ht="14.25" customHeight="1" x14ac:dyDescent="0.25">
      <c r="A42" s="22" t="s">
        <v>65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>
        <f t="shared" si="0"/>
        <v>0</v>
      </c>
    </row>
    <row r="43" spans="1:14" ht="14.25" customHeight="1" x14ac:dyDescent="0.25">
      <c r="A43" s="22" t="s">
        <v>66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26">
        <f>SUM(B43:M43)</f>
        <v>0</v>
      </c>
    </row>
    <row r="44" spans="1:14" ht="14.25" customHeight="1" x14ac:dyDescent="0.25">
      <c r="A44" s="22" t="s">
        <v>67</v>
      </c>
      <c r="B44" s="18">
        <v>0</v>
      </c>
      <c r="C44" s="18">
        <v>0</v>
      </c>
      <c r="D44" s="18">
        <f>50*130</f>
        <v>6500</v>
      </c>
      <c r="E44" s="18">
        <f>50*130</f>
        <v>6500</v>
      </c>
      <c r="F44" s="18">
        <f>50*130</f>
        <v>6500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5">
        <f t="shared" ref="N44:N129" si="1">SUM(B44:M44)</f>
        <v>19500</v>
      </c>
    </row>
    <row r="45" spans="1:14" ht="14.25" customHeight="1" x14ac:dyDescent="0.25">
      <c r="A45" s="22" t="s">
        <v>68</v>
      </c>
      <c r="B45" s="18">
        <f>50</f>
        <v>50</v>
      </c>
      <c r="C45" s="18">
        <v>700</v>
      </c>
      <c r="D45" s="18">
        <v>800</v>
      </c>
      <c r="E45" s="18">
        <v>700</v>
      </c>
      <c r="F45" s="18">
        <v>600</v>
      </c>
      <c r="G45" s="18">
        <v>450</v>
      </c>
      <c r="H45" s="18">
        <v>450</v>
      </c>
      <c r="I45" s="18">
        <v>450</v>
      </c>
      <c r="J45" s="18">
        <v>450</v>
      </c>
      <c r="K45" s="18">
        <v>450</v>
      </c>
      <c r="L45" s="18">
        <v>450</v>
      </c>
      <c r="M45" s="18">
        <v>450</v>
      </c>
      <c r="N45" s="26">
        <f t="shared" si="1"/>
        <v>6000</v>
      </c>
    </row>
    <row r="46" spans="1:14" ht="14.25" customHeight="1" x14ac:dyDescent="0.25">
      <c r="A46" s="22" t="s">
        <v>69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>
        <f t="shared" si="1"/>
        <v>0</v>
      </c>
    </row>
    <row r="47" spans="1:14" ht="14.25" customHeight="1" x14ac:dyDescent="0.25">
      <c r="A47" s="22" t="s">
        <v>70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>
        <f t="shared" si="1"/>
        <v>0</v>
      </c>
    </row>
    <row r="48" spans="1:14" ht="14.25" customHeight="1" x14ac:dyDescent="0.25">
      <c r="A48" s="22" t="s">
        <v>71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>
        <f t="shared" si="1"/>
        <v>0</v>
      </c>
    </row>
    <row r="49" spans="1:14" ht="14.25" customHeight="1" x14ac:dyDescent="0.25">
      <c r="A49" s="22" t="s">
        <v>72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>
        <f t="shared" si="1"/>
        <v>0</v>
      </c>
    </row>
    <row r="50" spans="1:14" ht="14.25" customHeight="1" x14ac:dyDescent="0.25">
      <c r="A50" s="22" t="s">
        <v>73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>
        <f t="shared" si="1"/>
        <v>0</v>
      </c>
    </row>
    <row r="51" spans="1:14" ht="14.25" customHeight="1" x14ac:dyDescent="0.25">
      <c r="A51" s="22" t="s">
        <v>74</v>
      </c>
      <c r="B51" s="18">
        <f>0</f>
        <v>0</v>
      </c>
      <c r="C51" s="18">
        <f>0</f>
        <v>0</v>
      </c>
      <c r="D51" s="18">
        <f>50*80</f>
        <v>4000</v>
      </c>
      <c r="E51" s="18">
        <f>50*80</f>
        <v>4000</v>
      </c>
      <c r="F51" s="18">
        <f>50*80</f>
        <v>4000</v>
      </c>
      <c r="G51" s="18">
        <f>0</f>
        <v>0</v>
      </c>
      <c r="H51" s="18">
        <f>0</f>
        <v>0</v>
      </c>
      <c r="I51" s="18">
        <f>0</f>
        <v>0</v>
      </c>
      <c r="J51" s="18">
        <f>0</f>
        <v>0</v>
      </c>
      <c r="K51" s="18">
        <f>0</f>
        <v>0</v>
      </c>
      <c r="L51" s="18">
        <f>0</f>
        <v>0</v>
      </c>
      <c r="M51" s="18">
        <f>0</f>
        <v>0</v>
      </c>
      <c r="N51" s="15">
        <f t="shared" si="1"/>
        <v>12000</v>
      </c>
    </row>
    <row r="52" spans="1:14" ht="14.25" customHeight="1" x14ac:dyDescent="0.25">
      <c r="A52" s="22" t="s">
        <v>75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>
        <f t="shared" si="1"/>
        <v>0</v>
      </c>
    </row>
    <row r="53" spans="1:14" ht="14.25" customHeight="1" x14ac:dyDescent="0.25">
      <c r="A53" s="21" t="s">
        <v>76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>
        <f t="shared" si="1"/>
        <v>0</v>
      </c>
    </row>
    <row r="54" spans="1:14" ht="14.25" customHeight="1" x14ac:dyDescent="0.25">
      <c r="A54" s="22" t="s">
        <v>77</v>
      </c>
      <c r="B54" s="15"/>
      <c r="C54" s="15"/>
      <c r="D54" s="15"/>
      <c r="E54" s="15"/>
      <c r="F54" s="15"/>
      <c r="G54" s="15"/>
      <c r="H54" s="15"/>
      <c r="I54" s="18"/>
      <c r="J54" s="15"/>
      <c r="K54" s="15"/>
      <c r="L54" s="15"/>
      <c r="M54" s="15"/>
      <c r="N54" s="15">
        <f t="shared" si="1"/>
        <v>0</v>
      </c>
    </row>
    <row r="55" spans="1:14" ht="14.25" customHeight="1" x14ac:dyDescent="0.25">
      <c r="A55" s="22" t="s">
        <v>78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5">
        <f t="shared" si="1"/>
        <v>0</v>
      </c>
    </row>
    <row r="56" spans="1:14" ht="14.25" customHeight="1" x14ac:dyDescent="0.25">
      <c r="A56" s="22" t="s">
        <v>79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5">
        <f t="shared" si="1"/>
        <v>0</v>
      </c>
    </row>
    <row r="57" spans="1:14" ht="14.25" customHeight="1" x14ac:dyDescent="0.25">
      <c r="A57" s="22" t="s">
        <v>80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5">
        <f t="shared" si="1"/>
        <v>0</v>
      </c>
    </row>
    <row r="58" spans="1:14" ht="14.25" customHeight="1" x14ac:dyDescent="0.25">
      <c r="A58" s="22" t="s">
        <v>81</v>
      </c>
      <c r="B58" s="15"/>
      <c r="C58" s="15"/>
      <c r="D58" s="15"/>
      <c r="E58" s="18"/>
      <c r="F58" s="15"/>
      <c r="G58" s="15"/>
      <c r="H58" s="15"/>
      <c r="I58" s="15"/>
      <c r="J58" s="15"/>
      <c r="K58" s="15"/>
      <c r="L58" s="15"/>
      <c r="M58" s="18"/>
      <c r="N58" s="15">
        <f t="shared" si="1"/>
        <v>0</v>
      </c>
    </row>
    <row r="59" spans="1:14" ht="14.25" customHeight="1" x14ac:dyDescent="0.25">
      <c r="A59" s="22" t="s">
        <v>82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>
        <f t="shared" si="1"/>
        <v>0</v>
      </c>
    </row>
    <row r="60" spans="1:14" ht="14.25" customHeight="1" x14ac:dyDescent="0.25">
      <c r="A60" s="22" t="s">
        <v>83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5">
        <f t="shared" si="1"/>
        <v>0</v>
      </c>
    </row>
    <row r="61" spans="1:14" ht="14.25" customHeight="1" x14ac:dyDescent="0.25">
      <c r="A61" s="22" t="s">
        <v>84</v>
      </c>
      <c r="B61" s="15"/>
      <c r="C61" s="15"/>
      <c r="D61" s="15"/>
      <c r="E61" s="18"/>
      <c r="F61" s="15"/>
      <c r="G61" s="15"/>
      <c r="H61" s="15"/>
      <c r="I61" s="15"/>
      <c r="J61" s="15"/>
      <c r="K61" s="15"/>
      <c r="L61" s="15"/>
      <c r="M61" s="15"/>
      <c r="N61" s="15">
        <f t="shared" si="1"/>
        <v>0</v>
      </c>
    </row>
    <row r="62" spans="1:14" ht="14.25" customHeight="1" x14ac:dyDescent="0.25">
      <c r="A62" s="22" t="s">
        <v>85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5">
        <f t="shared" si="1"/>
        <v>0</v>
      </c>
    </row>
    <row r="63" spans="1:14" ht="14.25" customHeight="1" x14ac:dyDescent="0.25">
      <c r="A63" s="22" t="s">
        <v>86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5">
        <f t="shared" si="1"/>
        <v>0</v>
      </c>
    </row>
    <row r="64" spans="1:14" ht="14.25" customHeight="1" x14ac:dyDescent="0.25">
      <c r="A64" s="22" t="s">
        <v>87</v>
      </c>
      <c r="B64" s="15"/>
      <c r="C64" s="15"/>
      <c r="D64" s="15"/>
      <c r="E64" s="15"/>
      <c r="F64" s="15"/>
      <c r="G64" s="15"/>
      <c r="H64" s="15"/>
      <c r="I64" s="15"/>
      <c r="J64" s="15"/>
      <c r="K64" s="18"/>
      <c r="L64" s="15"/>
      <c r="M64" s="15"/>
      <c r="N64" s="15">
        <f t="shared" si="1"/>
        <v>0</v>
      </c>
    </row>
    <row r="65" spans="1:14" ht="14.25" customHeight="1" x14ac:dyDescent="0.25">
      <c r="A65" s="22" t="s">
        <v>88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15">
        <f t="shared" si="1"/>
        <v>0</v>
      </c>
    </row>
    <row r="66" spans="1:14" ht="14.25" customHeight="1" x14ac:dyDescent="0.25">
      <c r="A66" s="22" t="s">
        <v>89</v>
      </c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15">
        <f t="shared" si="1"/>
        <v>0</v>
      </c>
    </row>
    <row r="67" spans="1:14" ht="14.25" customHeight="1" x14ac:dyDescent="0.25">
      <c r="A67" s="22" t="s">
        <v>90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>
        <f t="shared" si="1"/>
        <v>0</v>
      </c>
    </row>
    <row r="68" spans="1:14" ht="14.25" customHeight="1" x14ac:dyDescent="0.25">
      <c r="A68" s="22" t="s">
        <v>91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>
        <f t="shared" si="1"/>
        <v>0</v>
      </c>
    </row>
    <row r="69" spans="1:14" ht="14.25" customHeight="1" x14ac:dyDescent="0.25">
      <c r="A69" s="22" t="s">
        <v>92</v>
      </c>
      <c r="B69" s="18"/>
      <c r="E69" s="18"/>
      <c r="H69" s="18"/>
      <c r="K69" s="18"/>
      <c r="N69" s="15">
        <f t="shared" si="1"/>
        <v>0</v>
      </c>
    </row>
    <row r="70" spans="1:14" ht="14.25" customHeight="1" x14ac:dyDescent="0.25">
      <c r="A70" s="22" t="s">
        <v>93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>
        <f t="shared" si="1"/>
        <v>0</v>
      </c>
    </row>
    <row r="71" spans="1:14" ht="14.25" customHeight="1" x14ac:dyDescent="0.25">
      <c r="A71" s="22" t="s">
        <v>94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>
        <f t="shared" si="1"/>
        <v>0</v>
      </c>
    </row>
    <row r="72" spans="1:14" ht="14.25" customHeight="1" x14ac:dyDescent="0.25">
      <c r="A72" s="22" t="s">
        <v>95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15">
        <f t="shared" si="1"/>
        <v>0</v>
      </c>
    </row>
    <row r="73" spans="1:14" ht="14.25" customHeight="1" x14ac:dyDescent="0.25">
      <c r="A73" s="22" t="s">
        <v>96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>
        <f t="shared" si="1"/>
        <v>0</v>
      </c>
    </row>
    <row r="74" spans="1:14" ht="14.25" customHeight="1" x14ac:dyDescent="0.25">
      <c r="A74" s="22" t="s">
        <v>97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8"/>
      <c r="N74" s="15">
        <f t="shared" si="1"/>
        <v>0</v>
      </c>
    </row>
    <row r="75" spans="1:14" ht="14.25" customHeight="1" x14ac:dyDescent="0.25">
      <c r="A75" s="22" t="s">
        <v>98</v>
      </c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15">
        <f t="shared" si="1"/>
        <v>0</v>
      </c>
    </row>
    <row r="76" spans="1:14" ht="14.25" customHeight="1" x14ac:dyDescent="0.25">
      <c r="A76" s="22" t="s">
        <v>99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5">
        <f t="shared" si="1"/>
        <v>0</v>
      </c>
    </row>
    <row r="77" spans="1:14" ht="14.25" customHeight="1" x14ac:dyDescent="0.25">
      <c r="A77" s="22" t="s">
        <v>100</v>
      </c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15">
        <f t="shared" si="1"/>
        <v>0</v>
      </c>
    </row>
    <row r="78" spans="1:14" ht="14.25" customHeight="1" x14ac:dyDescent="0.25">
      <c r="A78" s="22" t="s">
        <v>101</v>
      </c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15">
        <f t="shared" si="1"/>
        <v>0</v>
      </c>
    </row>
    <row r="79" spans="1:14" ht="14.25" customHeight="1" x14ac:dyDescent="0.25">
      <c r="A79" s="22" t="s">
        <v>102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15">
        <f t="shared" si="1"/>
        <v>0</v>
      </c>
    </row>
    <row r="80" spans="1:14" ht="14.25" customHeight="1" x14ac:dyDescent="0.25">
      <c r="A80" s="22" t="s">
        <v>103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5">
        <f t="shared" si="1"/>
        <v>0</v>
      </c>
    </row>
    <row r="81" spans="1:14" ht="14.25" customHeight="1" x14ac:dyDescent="0.25">
      <c r="A81" s="22" t="s">
        <v>104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>
        <f t="shared" si="1"/>
        <v>0</v>
      </c>
    </row>
    <row r="82" spans="1:14" ht="14.25" customHeight="1" x14ac:dyDescent="0.25">
      <c r="A82" s="22" t="s">
        <v>105</v>
      </c>
      <c r="B82" s="18"/>
      <c r="D82" s="18"/>
      <c r="N82" s="15">
        <f t="shared" si="1"/>
        <v>0</v>
      </c>
    </row>
    <row r="83" spans="1:14" ht="14.25" customHeight="1" x14ac:dyDescent="0.25">
      <c r="A83" s="22" t="s">
        <v>106</v>
      </c>
      <c r="B83" s="15"/>
      <c r="C83" s="15"/>
      <c r="D83" s="15"/>
      <c r="E83" s="15"/>
      <c r="F83" s="18"/>
      <c r="G83" s="15"/>
      <c r="H83" s="15"/>
      <c r="I83" s="15"/>
      <c r="J83" s="15"/>
      <c r="K83" s="15"/>
      <c r="L83" s="15"/>
      <c r="M83" s="15"/>
      <c r="N83" s="15">
        <f t="shared" si="1"/>
        <v>0</v>
      </c>
    </row>
    <row r="84" spans="1:14" ht="14.25" customHeight="1" x14ac:dyDescent="0.25">
      <c r="A84" s="22" t="s">
        <v>107</v>
      </c>
      <c r="B84" s="15"/>
      <c r="C84" s="15"/>
      <c r="D84" s="15"/>
      <c r="E84" s="15"/>
      <c r="F84" s="15"/>
      <c r="G84" s="15"/>
      <c r="H84" s="15"/>
      <c r="I84" s="15"/>
      <c r="J84" s="15"/>
      <c r="K84" s="18"/>
      <c r="L84" s="15"/>
      <c r="M84" s="15"/>
      <c r="N84" s="15">
        <f t="shared" si="1"/>
        <v>0</v>
      </c>
    </row>
    <row r="85" spans="1:14" ht="14.25" customHeight="1" x14ac:dyDescent="0.25">
      <c r="A85" s="22" t="s">
        <v>108</v>
      </c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15">
        <f t="shared" si="1"/>
        <v>0</v>
      </c>
    </row>
    <row r="86" spans="1:14" ht="14.25" customHeight="1" x14ac:dyDescent="0.25">
      <c r="A86" s="22" t="s">
        <v>109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15">
        <f t="shared" si="1"/>
        <v>0</v>
      </c>
    </row>
    <row r="87" spans="1:14" ht="14.25" customHeight="1" x14ac:dyDescent="0.25">
      <c r="A87" s="22" t="s">
        <v>110</v>
      </c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15">
        <f t="shared" si="1"/>
        <v>0</v>
      </c>
    </row>
    <row r="88" spans="1:14" ht="14.25" customHeight="1" x14ac:dyDescent="0.25">
      <c r="A88" s="22" t="s">
        <v>111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8"/>
      <c r="M88" s="15"/>
      <c r="N88" s="15">
        <f t="shared" si="1"/>
        <v>0</v>
      </c>
    </row>
    <row r="89" spans="1:14" ht="14.25" customHeight="1" x14ac:dyDescent="0.25">
      <c r="A89" s="22" t="s">
        <v>112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>
        <f t="shared" si="1"/>
        <v>0</v>
      </c>
    </row>
    <row r="90" spans="1:14" ht="14.25" customHeight="1" x14ac:dyDescent="0.25">
      <c r="A90" s="22" t="s">
        <v>113</v>
      </c>
      <c r="B90" s="15"/>
      <c r="C90" s="18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>
        <f t="shared" si="1"/>
        <v>0</v>
      </c>
    </row>
    <row r="91" spans="1:14" ht="14.25" customHeight="1" x14ac:dyDescent="0.25">
      <c r="A91" s="22" t="s">
        <v>114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>
        <f t="shared" si="1"/>
        <v>0</v>
      </c>
    </row>
    <row r="92" spans="1:14" ht="14.25" customHeight="1" x14ac:dyDescent="0.25">
      <c r="A92" s="22" t="s">
        <v>115</v>
      </c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15">
        <f t="shared" si="1"/>
        <v>0</v>
      </c>
    </row>
    <row r="93" spans="1:14" ht="14.25" customHeight="1" x14ac:dyDescent="0.25">
      <c r="A93" s="22" t="s">
        <v>116</v>
      </c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15">
        <f t="shared" si="1"/>
        <v>0</v>
      </c>
    </row>
    <row r="94" spans="1:14" ht="14.25" customHeight="1" x14ac:dyDescent="0.25">
      <c r="A94" s="22" t="s">
        <v>117</v>
      </c>
      <c r="B94" s="15"/>
      <c r="C94" s="15"/>
      <c r="D94" s="15"/>
      <c r="E94" s="15"/>
      <c r="F94" s="18"/>
      <c r="G94" s="15"/>
      <c r="H94" s="15"/>
      <c r="I94" s="15"/>
      <c r="J94" s="15"/>
      <c r="K94" s="15"/>
      <c r="L94" s="15"/>
      <c r="M94" s="15"/>
      <c r="N94" s="15">
        <f t="shared" si="1"/>
        <v>0</v>
      </c>
    </row>
    <row r="95" spans="1:14" ht="14.25" customHeight="1" x14ac:dyDescent="0.25">
      <c r="A95" s="22" t="s">
        <v>118</v>
      </c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15">
        <f t="shared" si="1"/>
        <v>0</v>
      </c>
    </row>
    <row r="96" spans="1:14" ht="14.25" customHeight="1" x14ac:dyDescent="0.25">
      <c r="A96" s="22" t="s">
        <v>119</v>
      </c>
      <c r="B96" s="15">
        <v>0</v>
      </c>
      <c r="C96" s="15"/>
      <c r="D96" s="18"/>
      <c r="E96" s="15"/>
      <c r="F96" s="15"/>
      <c r="G96" s="15"/>
      <c r="H96" s="15"/>
      <c r="I96" s="15"/>
      <c r="J96" s="15"/>
      <c r="K96" s="15"/>
      <c r="L96" s="15"/>
      <c r="M96" s="15"/>
      <c r="N96" s="15">
        <f t="shared" si="1"/>
        <v>0</v>
      </c>
    </row>
    <row r="97" spans="1:14" ht="14.25" customHeight="1" x14ac:dyDescent="0.25">
      <c r="A97" s="22" t="s">
        <v>120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>
        <f t="shared" si="1"/>
        <v>0</v>
      </c>
    </row>
    <row r="98" spans="1:14" ht="14.25" customHeight="1" x14ac:dyDescent="0.25">
      <c r="A98" s="22" t="s">
        <v>121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>
        <f t="shared" si="1"/>
        <v>0</v>
      </c>
    </row>
    <row r="99" spans="1:14" ht="14.25" customHeight="1" x14ac:dyDescent="0.25">
      <c r="A99" s="21" t="s">
        <v>122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>
        <f t="shared" si="1"/>
        <v>0</v>
      </c>
    </row>
    <row r="100" spans="1:14" ht="14.25" customHeight="1" x14ac:dyDescent="0.25">
      <c r="A100" s="22" t="s">
        <v>123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>
        <f t="shared" si="1"/>
        <v>0</v>
      </c>
    </row>
    <row r="101" spans="1:14" ht="14.25" customHeight="1" x14ac:dyDescent="0.25">
      <c r="A101" s="22" t="s">
        <v>124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>
        <f t="shared" si="1"/>
        <v>0</v>
      </c>
    </row>
    <row r="102" spans="1:14" ht="14.25" customHeight="1" x14ac:dyDescent="0.25">
      <c r="A102" s="22" t="s">
        <v>125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>
        <f t="shared" si="1"/>
        <v>0</v>
      </c>
    </row>
    <row r="103" spans="1:14" ht="14.25" customHeight="1" x14ac:dyDescent="0.25">
      <c r="A103" s="22" t="s">
        <v>126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>
        <f t="shared" si="1"/>
        <v>0</v>
      </c>
    </row>
    <row r="104" spans="1:14" ht="14.25" customHeight="1" x14ac:dyDescent="0.25">
      <c r="A104" s="22" t="s">
        <v>127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>
        <f t="shared" si="1"/>
        <v>0</v>
      </c>
    </row>
    <row r="105" spans="1:14" ht="14.25" customHeight="1" x14ac:dyDescent="0.25">
      <c r="A105" s="21" t="s">
        <v>128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>
        <f t="shared" si="1"/>
        <v>0</v>
      </c>
    </row>
    <row r="106" spans="1:14" ht="14.25" customHeight="1" x14ac:dyDescent="0.25">
      <c r="A106" s="22" t="s">
        <v>129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>
        <f t="shared" si="1"/>
        <v>0</v>
      </c>
    </row>
    <row r="107" spans="1:14" ht="14.25" customHeight="1" x14ac:dyDescent="0.25">
      <c r="A107" s="22" t="s">
        <v>130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>
        <f t="shared" si="1"/>
        <v>0</v>
      </c>
    </row>
    <row r="108" spans="1:14" ht="14.25" customHeight="1" x14ac:dyDescent="0.25">
      <c r="A108" s="22" t="s">
        <v>131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>
        <f t="shared" si="1"/>
        <v>0</v>
      </c>
    </row>
    <row r="109" spans="1:14" ht="14.25" customHeight="1" x14ac:dyDescent="0.25">
      <c r="A109" s="22" t="s">
        <v>132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>
        <f t="shared" si="1"/>
        <v>0</v>
      </c>
    </row>
    <row r="110" spans="1:14" ht="14.25" customHeight="1" x14ac:dyDescent="0.25">
      <c r="A110" s="22" t="s">
        <v>133</v>
      </c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>
        <f t="shared" si="1"/>
        <v>0</v>
      </c>
    </row>
    <row r="111" spans="1:14" ht="14.25" customHeight="1" x14ac:dyDescent="0.25">
      <c r="A111" s="22" t="s">
        <v>134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>
        <f t="shared" si="1"/>
        <v>0</v>
      </c>
    </row>
    <row r="112" spans="1:14" ht="14.25" customHeight="1" x14ac:dyDescent="0.25">
      <c r="A112" s="22" t="s">
        <v>135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>
        <f t="shared" si="1"/>
        <v>0</v>
      </c>
    </row>
    <row r="113" spans="1:14" ht="14.25" customHeight="1" x14ac:dyDescent="0.25">
      <c r="A113" s="22" t="s">
        <v>40</v>
      </c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>
        <f t="shared" si="1"/>
        <v>0</v>
      </c>
    </row>
    <row r="114" spans="1:14" ht="14.25" customHeight="1" x14ac:dyDescent="0.25">
      <c r="A114" s="22" t="s">
        <v>136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>
        <f t="shared" si="1"/>
        <v>0</v>
      </c>
    </row>
    <row r="115" spans="1:14" ht="14.25" customHeight="1" x14ac:dyDescent="0.25">
      <c r="A115" s="22" t="s">
        <v>137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>
        <f t="shared" si="1"/>
        <v>0</v>
      </c>
    </row>
    <row r="116" spans="1:14" ht="14.25" customHeight="1" x14ac:dyDescent="0.25">
      <c r="A116" s="21" t="s">
        <v>138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>
        <f t="shared" si="1"/>
        <v>0</v>
      </c>
    </row>
    <row r="117" spans="1:14" ht="14.25" customHeight="1" x14ac:dyDescent="0.25">
      <c r="A117" s="22" t="s">
        <v>139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>
        <f t="shared" si="1"/>
        <v>0</v>
      </c>
    </row>
    <row r="118" spans="1:14" ht="14.25" customHeight="1" x14ac:dyDescent="0.25">
      <c r="A118" s="22" t="s">
        <v>140</v>
      </c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>
        <f t="shared" si="1"/>
        <v>0</v>
      </c>
    </row>
    <row r="119" spans="1:14" ht="14.25" customHeight="1" x14ac:dyDescent="0.25">
      <c r="A119" s="22" t="s">
        <v>141</v>
      </c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>
        <f t="shared" si="1"/>
        <v>0</v>
      </c>
    </row>
    <row r="120" spans="1:14" ht="14.25" customHeight="1" x14ac:dyDescent="0.25">
      <c r="A120" s="22" t="s">
        <v>142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>
        <f t="shared" si="1"/>
        <v>0</v>
      </c>
    </row>
    <row r="121" spans="1:14" ht="14.25" customHeight="1" x14ac:dyDescent="0.25">
      <c r="A121" s="22" t="s">
        <v>143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>
        <f t="shared" si="1"/>
        <v>0</v>
      </c>
    </row>
    <row r="122" spans="1:14" ht="14.25" customHeight="1" x14ac:dyDescent="0.25">
      <c r="A122" s="22" t="s">
        <v>144</v>
      </c>
      <c r="B122" s="27">
        <f>B45*0.33</f>
        <v>16.5</v>
      </c>
      <c r="C122" s="28">
        <f t="shared" ref="C122:M122" si="2">C45*0.33</f>
        <v>231</v>
      </c>
      <c r="D122" s="28">
        <f t="shared" si="2"/>
        <v>264</v>
      </c>
      <c r="E122" s="28">
        <f t="shared" si="2"/>
        <v>231</v>
      </c>
      <c r="F122" s="28">
        <f t="shared" si="2"/>
        <v>198</v>
      </c>
      <c r="G122" s="28">
        <f t="shared" si="2"/>
        <v>148.5</v>
      </c>
      <c r="H122" s="28">
        <f t="shared" si="2"/>
        <v>148.5</v>
      </c>
      <c r="I122" s="28">
        <f t="shared" si="2"/>
        <v>148.5</v>
      </c>
      <c r="J122" s="28">
        <f t="shared" si="2"/>
        <v>148.5</v>
      </c>
      <c r="K122" s="28">
        <f t="shared" si="2"/>
        <v>148.5</v>
      </c>
      <c r="L122" s="28">
        <f t="shared" si="2"/>
        <v>148.5</v>
      </c>
      <c r="M122" s="28">
        <f t="shared" si="2"/>
        <v>148.5</v>
      </c>
      <c r="N122" s="26">
        <f t="shared" si="1"/>
        <v>1980</v>
      </c>
    </row>
    <row r="123" spans="1:14" ht="14.25" customHeight="1" x14ac:dyDescent="0.25">
      <c r="A123" s="22" t="s">
        <v>145</v>
      </c>
      <c r="B123" s="18">
        <f>42</f>
        <v>42</v>
      </c>
      <c r="C123" s="18">
        <f>42</f>
        <v>42</v>
      </c>
      <c r="D123" s="18">
        <f>42</f>
        <v>42</v>
      </c>
      <c r="E123" s="18">
        <f>42</f>
        <v>42</v>
      </c>
      <c r="F123" s="18">
        <f>42</f>
        <v>42</v>
      </c>
      <c r="G123" s="18">
        <f>42</f>
        <v>42</v>
      </c>
      <c r="H123" s="18">
        <f>42</f>
        <v>42</v>
      </c>
      <c r="I123" s="18">
        <f>42</f>
        <v>42</v>
      </c>
      <c r="J123" s="18">
        <f>42</f>
        <v>42</v>
      </c>
      <c r="K123" s="18">
        <f>42</f>
        <v>42</v>
      </c>
      <c r="L123" s="18">
        <f>42</f>
        <v>42</v>
      </c>
      <c r="M123" s="18">
        <f>42</f>
        <v>42</v>
      </c>
      <c r="N123" s="26">
        <f t="shared" si="1"/>
        <v>504</v>
      </c>
    </row>
    <row r="124" spans="1:14" ht="14.25" customHeight="1" x14ac:dyDescent="0.25">
      <c r="A124" s="22" t="s">
        <v>146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>
        <f t="shared" si="1"/>
        <v>0</v>
      </c>
    </row>
    <row r="125" spans="1:14" ht="14.25" customHeight="1" x14ac:dyDescent="0.25">
      <c r="A125" s="22" t="s">
        <v>147</v>
      </c>
      <c r="B125" s="18">
        <v>0</v>
      </c>
      <c r="C125" s="18">
        <v>0</v>
      </c>
      <c r="D125" s="18">
        <v>90</v>
      </c>
      <c r="E125" s="18">
        <v>90</v>
      </c>
      <c r="F125" s="18">
        <v>90</v>
      </c>
      <c r="G125" s="18">
        <v>90</v>
      </c>
      <c r="H125" s="18">
        <v>90</v>
      </c>
      <c r="I125" s="18">
        <v>90</v>
      </c>
      <c r="J125" s="18">
        <v>90</v>
      </c>
      <c r="K125" s="18">
        <v>90</v>
      </c>
      <c r="L125" s="18">
        <v>90</v>
      </c>
      <c r="M125" s="18">
        <v>90</v>
      </c>
      <c r="N125" s="26">
        <f t="shared" si="1"/>
        <v>900</v>
      </c>
    </row>
    <row r="126" spans="1:14" ht="14.25" customHeight="1" x14ac:dyDescent="0.25">
      <c r="A126" s="22" t="s">
        <v>148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>
        <f t="shared" si="1"/>
        <v>0</v>
      </c>
    </row>
    <row r="127" spans="1:14" ht="14.25" customHeight="1" x14ac:dyDescent="0.25">
      <c r="A127" s="22" t="s">
        <v>149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>
        <f t="shared" si="1"/>
        <v>0</v>
      </c>
    </row>
    <row r="128" spans="1:14" ht="14.25" customHeight="1" x14ac:dyDescent="0.25">
      <c r="A128" s="22" t="s">
        <v>150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>
        <f t="shared" si="1"/>
        <v>0</v>
      </c>
    </row>
    <row r="129" spans="1:14" ht="14.25" customHeight="1" x14ac:dyDescent="0.25">
      <c r="A129" s="22" t="s">
        <v>151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>
        <f t="shared" si="1"/>
        <v>0</v>
      </c>
    </row>
    <row r="130" spans="1:14" ht="14.25" customHeight="1" x14ac:dyDescent="0.25">
      <c r="A130" s="22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</row>
    <row r="131" spans="1:14" ht="14.25" customHeight="1" x14ac:dyDescent="0.25">
      <c r="A131" s="22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</row>
    <row r="132" spans="1:14" ht="14.25" customHeight="1" x14ac:dyDescent="0.25">
      <c r="A132" s="22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</row>
    <row r="133" spans="1:14" ht="14.25" customHeight="1" x14ac:dyDescent="0.25">
      <c r="A133" s="22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</row>
    <row r="134" spans="1:14" ht="14.25" customHeight="1" x14ac:dyDescent="0.25">
      <c r="A134" s="22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</row>
    <row r="135" spans="1:14" ht="14.25" customHeight="1" x14ac:dyDescent="0.25">
      <c r="A135" s="22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</row>
    <row r="136" spans="1:14" ht="14.25" customHeight="1" x14ac:dyDescent="0.25">
      <c r="A136" s="22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</row>
    <row r="137" spans="1:14" ht="14.25" customHeight="1" x14ac:dyDescent="0.25">
      <c r="A137" s="22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</row>
    <row r="138" spans="1:14" ht="14.25" customHeight="1" x14ac:dyDescent="0.25">
      <c r="A138" s="22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</row>
    <row r="139" spans="1:14" ht="14.25" customHeight="1" x14ac:dyDescent="0.25">
      <c r="A139" s="22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</row>
    <row r="140" spans="1:14" ht="14.25" customHeight="1" x14ac:dyDescent="0.25">
      <c r="A140" s="22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</row>
    <row r="141" spans="1:14" ht="14.25" customHeight="1" x14ac:dyDescent="0.25">
      <c r="A141" s="22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</row>
    <row r="142" spans="1:14" ht="14.25" customHeight="1" x14ac:dyDescent="0.25">
      <c r="A142" s="22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</row>
    <row r="143" spans="1:14" ht="14.25" customHeight="1" x14ac:dyDescent="0.25">
      <c r="A143" s="22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</row>
    <row r="144" spans="1:14" ht="14.25" customHeight="1" x14ac:dyDescent="0.25">
      <c r="A144" s="22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</row>
    <row r="145" spans="1:14" ht="14.25" customHeight="1" x14ac:dyDescent="0.25">
      <c r="A145" s="22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</row>
    <row r="146" spans="1:14" ht="14.25" customHeight="1" x14ac:dyDescent="0.25">
      <c r="A146" s="22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</row>
    <row r="147" spans="1:14" ht="14.25" customHeight="1" x14ac:dyDescent="0.25">
      <c r="A147" s="22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</row>
    <row r="148" spans="1:14" ht="14.25" customHeight="1" x14ac:dyDescent="0.25">
      <c r="A148" s="22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</row>
    <row r="149" spans="1:14" ht="14.25" customHeight="1" x14ac:dyDescent="0.25">
      <c r="A149" s="22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</row>
    <row r="150" spans="1:14" ht="14.25" customHeight="1" x14ac:dyDescent="0.25">
      <c r="A150" s="22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</row>
    <row r="151" spans="1:14" ht="14.25" customHeight="1" x14ac:dyDescent="0.25">
      <c r="A151" s="22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</row>
    <row r="152" spans="1:14" ht="14.25" customHeight="1" x14ac:dyDescent="0.25">
      <c r="A152" s="22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</row>
    <row r="153" spans="1:14" ht="14.25" customHeight="1" x14ac:dyDescent="0.25">
      <c r="A153" s="22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</row>
    <row r="154" spans="1:14" ht="14.25" customHeight="1" x14ac:dyDescent="0.25">
      <c r="A154" s="22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</row>
    <row r="155" spans="1:14" ht="14.25" customHeight="1" x14ac:dyDescent="0.25">
      <c r="A155" s="22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</row>
    <row r="156" spans="1:14" ht="14.25" customHeight="1" x14ac:dyDescent="0.25">
      <c r="A156" s="22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</row>
    <row r="157" spans="1:14" ht="14.25" customHeight="1" x14ac:dyDescent="0.25">
      <c r="A157" s="22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</row>
    <row r="158" spans="1:14" ht="14.25" customHeight="1" x14ac:dyDescent="0.25">
      <c r="A158" s="22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</row>
    <row r="159" spans="1:14" ht="14.25" customHeight="1" x14ac:dyDescent="0.25">
      <c r="A159" s="22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</row>
    <row r="160" spans="1:14" ht="14.25" customHeight="1" x14ac:dyDescent="0.25">
      <c r="A160" s="22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</row>
    <row r="161" spans="1:14" ht="14.25" customHeight="1" x14ac:dyDescent="0.25">
      <c r="A161" s="22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</row>
    <row r="162" spans="1:14" ht="14.25" customHeight="1" x14ac:dyDescent="0.25">
      <c r="A162" s="22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</row>
    <row r="163" spans="1:14" ht="14.25" customHeight="1" x14ac:dyDescent="0.25">
      <c r="A163" s="22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</row>
    <row r="164" spans="1:14" ht="14.25" customHeight="1" x14ac:dyDescent="0.25">
      <c r="A164" s="22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</row>
    <row r="165" spans="1:14" ht="14.25" customHeight="1" x14ac:dyDescent="0.25">
      <c r="A165" s="22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</row>
    <row r="166" spans="1:14" ht="14.25" customHeight="1" x14ac:dyDescent="0.25">
      <c r="A166" s="22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</row>
    <row r="167" spans="1:14" ht="14.25" customHeight="1" x14ac:dyDescent="0.25">
      <c r="A167" s="22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</row>
    <row r="168" spans="1:14" ht="14.25" customHeight="1" x14ac:dyDescent="0.25">
      <c r="A168" s="22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</row>
    <row r="169" spans="1:14" ht="14.25" customHeight="1" x14ac:dyDescent="0.25">
      <c r="A169" s="22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</row>
    <row r="170" spans="1:14" ht="14.25" customHeight="1" x14ac:dyDescent="0.25">
      <c r="A170" s="22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</row>
    <row r="171" spans="1:14" ht="14.25" customHeight="1" x14ac:dyDescent="0.25">
      <c r="A171" s="22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</row>
    <row r="172" spans="1:14" ht="14.25" customHeight="1" x14ac:dyDescent="0.25">
      <c r="A172" s="22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</row>
    <row r="173" spans="1:14" ht="14.25" customHeight="1" x14ac:dyDescent="0.25">
      <c r="A173" s="22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</row>
    <row r="174" spans="1:14" ht="14.25" customHeight="1" x14ac:dyDescent="0.25">
      <c r="A174" s="22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</row>
    <row r="175" spans="1:14" ht="14.25" customHeight="1" x14ac:dyDescent="0.25">
      <c r="A175" s="22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</row>
    <row r="176" spans="1:14" ht="14.25" customHeight="1" x14ac:dyDescent="0.25">
      <c r="A176" s="22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</row>
    <row r="177" spans="1:14" ht="14.25" customHeight="1" x14ac:dyDescent="0.25">
      <c r="A177" s="22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</row>
    <row r="178" spans="1:14" ht="14.25" customHeight="1" x14ac:dyDescent="0.25">
      <c r="A178" s="22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</row>
    <row r="179" spans="1:14" ht="14.25" customHeight="1" x14ac:dyDescent="0.25">
      <c r="A179" s="22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</row>
    <row r="180" spans="1:14" ht="14.25" customHeight="1" x14ac:dyDescent="0.25">
      <c r="A180" s="22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</row>
    <row r="181" spans="1:14" ht="14.25" customHeight="1" x14ac:dyDescent="0.25">
      <c r="A181" s="22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</row>
    <row r="182" spans="1:14" ht="14.25" customHeight="1" x14ac:dyDescent="0.25">
      <c r="A182" s="22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</row>
    <row r="183" spans="1:14" ht="14.25" customHeight="1" x14ac:dyDescent="0.25">
      <c r="A183" s="22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</row>
    <row r="184" spans="1:14" ht="14.25" customHeight="1" x14ac:dyDescent="0.25">
      <c r="A184" s="22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</row>
    <row r="185" spans="1:14" ht="14.25" customHeight="1" x14ac:dyDescent="0.25">
      <c r="A185" s="22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</row>
    <row r="186" spans="1:14" ht="14.25" customHeight="1" x14ac:dyDescent="0.25">
      <c r="A186" s="22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</row>
    <row r="187" spans="1:14" ht="14.25" customHeight="1" x14ac:dyDescent="0.25">
      <c r="A187" s="22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</row>
    <row r="188" spans="1:14" ht="14.25" customHeight="1" x14ac:dyDescent="0.25">
      <c r="A188" s="22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</row>
    <row r="189" spans="1:14" ht="14.25" customHeight="1" x14ac:dyDescent="0.25">
      <c r="A189" s="22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</row>
    <row r="190" spans="1:14" ht="14.25" customHeight="1" x14ac:dyDescent="0.25">
      <c r="A190" s="22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</row>
    <row r="191" spans="1:14" ht="14.25" customHeight="1" x14ac:dyDescent="0.25">
      <c r="A191" s="22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</row>
    <row r="192" spans="1:14" ht="14.25" customHeight="1" x14ac:dyDescent="0.25">
      <c r="A192" s="22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</row>
    <row r="193" spans="1:14" ht="14.25" customHeight="1" x14ac:dyDescent="0.25">
      <c r="A193" s="22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</row>
    <row r="194" spans="1:14" ht="14.25" customHeight="1" x14ac:dyDescent="0.25">
      <c r="A194" s="22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</row>
    <row r="195" spans="1:14" ht="14.25" customHeight="1" x14ac:dyDescent="0.25">
      <c r="A195" s="22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</row>
    <row r="196" spans="1:14" ht="14.25" customHeight="1" x14ac:dyDescent="0.25">
      <c r="A196" s="22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</row>
    <row r="197" spans="1:14" ht="14.25" customHeight="1" x14ac:dyDescent="0.25">
      <c r="A197" s="22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</row>
    <row r="198" spans="1:14" ht="14.25" customHeight="1" x14ac:dyDescent="0.25">
      <c r="A198" s="22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</row>
    <row r="199" spans="1:14" ht="14.25" customHeight="1" x14ac:dyDescent="0.25">
      <c r="A199" s="22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</row>
    <row r="200" spans="1:14" ht="14.25" customHeight="1" x14ac:dyDescent="0.25">
      <c r="A200" s="22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</row>
    <row r="201" spans="1:14" ht="14.25" customHeight="1" x14ac:dyDescent="0.25">
      <c r="A201" s="22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</row>
    <row r="202" spans="1:14" ht="14.25" customHeight="1" x14ac:dyDescent="0.25">
      <c r="A202" s="22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</row>
    <row r="203" spans="1:14" ht="14.25" customHeight="1" x14ac:dyDescent="0.25">
      <c r="A203" s="22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</row>
    <row r="204" spans="1:14" ht="14.25" customHeight="1" x14ac:dyDescent="0.25">
      <c r="A204" s="22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</row>
    <row r="205" spans="1:14" ht="14.25" customHeight="1" x14ac:dyDescent="0.25">
      <c r="A205" s="22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</row>
    <row r="206" spans="1:14" ht="14.25" customHeight="1" x14ac:dyDescent="0.25">
      <c r="A206" s="22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</row>
    <row r="207" spans="1:14" ht="14.25" customHeight="1" x14ac:dyDescent="0.25">
      <c r="A207" s="22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</row>
    <row r="208" spans="1:14" ht="14.25" customHeight="1" x14ac:dyDescent="0.25">
      <c r="A208" s="22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</row>
    <row r="209" spans="1:14" ht="14.25" customHeight="1" x14ac:dyDescent="0.25">
      <c r="A209" s="22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</row>
    <row r="210" spans="1:14" ht="14.25" customHeight="1" x14ac:dyDescent="0.25">
      <c r="A210" s="22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</row>
    <row r="211" spans="1:14" ht="14.25" customHeight="1" x14ac:dyDescent="0.25">
      <c r="A211" s="22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</row>
    <row r="212" spans="1:14" ht="14.25" customHeight="1" x14ac:dyDescent="0.25">
      <c r="A212" s="22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</row>
    <row r="213" spans="1:14" ht="14.25" customHeight="1" x14ac:dyDescent="0.25">
      <c r="A213" s="22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</row>
    <row r="214" spans="1:14" ht="14.25" customHeight="1" x14ac:dyDescent="0.25">
      <c r="A214" s="22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</row>
    <row r="215" spans="1:14" ht="14.25" customHeight="1" x14ac:dyDescent="0.25">
      <c r="A215" s="22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</row>
    <row r="216" spans="1:14" ht="14.25" customHeight="1" x14ac:dyDescent="0.25">
      <c r="A216" s="22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</row>
    <row r="217" spans="1:14" ht="14.25" customHeight="1" x14ac:dyDescent="0.25">
      <c r="A217" s="22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</row>
    <row r="218" spans="1:14" ht="14.25" customHeight="1" x14ac:dyDescent="0.25">
      <c r="A218" s="22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</row>
    <row r="219" spans="1:14" ht="14.25" customHeight="1" x14ac:dyDescent="0.25">
      <c r="A219" s="22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</row>
    <row r="220" spans="1:14" ht="14.25" customHeight="1" x14ac:dyDescent="0.25">
      <c r="A220" s="22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</row>
    <row r="221" spans="1:14" ht="14.25" customHeight="1" x14ac:dyDescent="0.25">
      <c r="A221" s="22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</row>
    <row r="222" spans="1:14" ht="14.25" customHeight="1" x14ac:dyDescent="0.25">
      <c r="A222" s="22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</row>
    <row r="223" spans="1:14" ht="14.25" customHeight="1" x14ac:dyDescent="0.25">
      <c r="A223" s="22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</row>
    <row r="224" spans="1:14" ht="14.25" customHeight="1" x14ac:dyDescent="0.25">
      <c r="A224" s="22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</row>
    <row r="225" spans="1:14" ht="14.25" customHeight="1" x14ac:dyDescent="0.25">
      <c r="A225" s="22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</row>
    <row r="226" spans="1:14" ht="14.25" customHeight="1" x14ac:dyDescent="0.25">
      <c r="A226" s="22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</row>
    <row r="227" spans="1:14" ht="14.25" customHeight="1" x14ac:dyDescent="0.25">
      <c r="A227" s="22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</row>
    <row r="228" spans="1:14" ht="14.25" customHeight="1" x14ac:dyDescent="0.25">
      <c r="A228" s="22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</row>
    <row r="229" spans="1:14" ht="14.25" customHeight="1" x14ac:dyDescent="0.25">
      <c r="A229" s="22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</row>
    <row r="230" spans="1:14" ht="14.25" customHeight="1" x14ac:dyDescent="0.25">
      <c r="A230" s="22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</row>
    <row r="231" spans="1:14" ht="14.25" customHeight="1" x14ac:dyDescent="0.25">
      <c r="A231" s="22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</row>
    <row r="232" spans="1:14" ht="14.25" customHeight="1" x14ac:dyDescent="0.25">
      <c r="A232" s="22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</row>
    <row r="233" spans="1:14" ht="14.25" customHeight="1" x14ac:dyDescent="0.25">
      <c r="A233" s="22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</row>
    <row r="234" spans="1:14" ht="14.25" customHeight="1" x14ac:dyDescent="0.25">
      <c r="A234" s="22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</row>
    <row r="235" spans="1:14" ht="14.25" customHeight="1" x14ac:dyDescent="0.25">
      <c r="A235" s="22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</row>
    <row r="236" spans="1:14" ht="14.25" customHeight="1" x14ac:dyDescent="0.25">
      <c r="A236" s="22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</row>
    <row r="237" spans="1:14" ht="14.25" customHeight="1" x14ac:dyDescent="0.25">
      <c r="A237" s="22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</row>
    <row r="238" spans="1:14" ht="14.25" customHeight="1" x14ac:dyDescent="0.25">
      <c r="A238" s="22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</row>
    <row r="239" spans="1:14" ht="14.25" customHeight="1" x14ac:dyDescent="0.25">
      <c r="A239" s="22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</row>
    <row r="240" spans="1:14" ht="14.25" customHeight="1" x14ac:dyDescent="0.25">
      <c r="A240" s="22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</row>
    <row r="241" spans="1:14" ht="14.25" customHeight="1" x14ac:dyDescent="0.25">
      <c r="A241" s="22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</row>
    <row r="242" spans="1:14" ht="14.25" customHeight="1" x14ac:dyDescent="0.25">
      <c r="A242" s="22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</row>
    <row r="243" spans="1:14" ht="14.25" customHeight="1" x14ac:dyDescent="0.25">
      <c r="A243" s="22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</row>
    <row r="244" spans="1:14" ht="14.25" customHeight="1" x14ac:dyDescent="0.25">
      <c r="A244" s="22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</row>
    <row r="245" spans="1:14" ht="14.25" customHeight="1" x14ac:dyDescent="0.25">
      <c r="A245" s="22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</row>
    <row r="246" spans="1:14" ht="14.25" customHeight="1" x14ac:dyDescent="0.25">
      <c r="A246" s="22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</row>
    <row r="247" spans="1:14" ht="14.25" customHeight="1" x14ac:dyDescent="0.25">
      <c r="A247" s="22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</row>
    <row r="248" spans="1:14" ht="14.25" customHeight="1" x14ac:dyDescent="0.25">
      <c r="A248" s="22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</row>
    <row r="249" spans="1:14" ht="14.25" customHeight="1" x14ac:dyDescent="0.25">
      <c r="A249" s="22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</row>
    <row r="250" spans="1:14" ht="14.25" customHeight="1" x14ac:dyDescent="0.25">
      <c r="A250" s="22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</row>
    <row r="251" spans="1:14" ht="14.25" customHeight="1" x14ac:dyDescent="0.25">
      <c r="A251" s="22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</row>
    <row r="252" spans="1:14" ht="14.25" customHeight="1" x14ac:dyDescent="0.25">
      <c r="A252" s="22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</row>
    <row r="253" spans="1:14" ht="14.25" customHeight="1" x14ac:dyDescent="0.25">
      <c r="A253" s="22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</row>
    <row r="254" spans="1:14" ht="14.25" customHeight="1" x14ac:dyDescent="0.25">
      <c r="A254" s="22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</row>
    <row r="255" spans="1:14" ht="14.25" customHeight="1" x14ac:dyDescent="0.25">
      <c r="A255" s="22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</row>
    <row r="256" spans="1:14" ht="14.25" customHeight="1" x14ac:dyDescent="0.25">
      <c r="A256" s="22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</row>
    <row r="257" spans="1:14" ht="14.25" customHeight="1" x14ac:dyDescent="0.25">
      <c r="A257" s="22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</row>
    <row r="258" spans="1:14" ht="14.25" customHeight="1" x14ac:dyDescent="0.25">
      <c r="A258" s="22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</row>
    <row r="259" spans="1:14" ht="14.25" customHeight="1" x14ac:dyDescent="0.25">
      <c r="A259" s="22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</row>
    <row r="260" spans="1:14" ht="14.25" customHeight="1" x14ac:dyDescent="0.25">
      <c r="A260" s="22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</row>
    <row r="261" spans="1:14" ht="14.25" customHeight="1" x14ac:dyDescent="0.25">
      <c r="A261" s="22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</row>
    <row r="262" spans="1:14" ht="14.25" customHeight="1" x14ac:dyDescent="0.25">
      <c r="A262" s="22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</row>
    <row r="263" spans="1:14" ht="14.25" customHeight="1" x14ac:dyDescent="0.25">
      <c r="A263" s="22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</row>
    <row r="264" spans="1:14" ht="14.25" customHeight="1" x14ac:dyDescent="0.25">
      <c r="A264" s="22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</row>
    <row r="265" spans="1:14" ht="14.25" customHeight="1" x14ac:dyDescent="0.25">
      <c r="A265" s="22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</row>
    <row r="266" spans="1:14" ht="14.25" customHeight="1" x14ac:dyDescent="0.25">
      <c r="A266" s="22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</row>
    <row r="267" spans="1:14" ht="14.25" customHeight="1" x14ac:dyDescent="0.25">
      <c r="A267" s="22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</row>
    <row r="268" spans="1:14" ht="14.25" customHeight="1" x14ac:dyDescent="0.25">
      <c r="A268" s="22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</row>
    <row r="269" spans="1:14" ht="14.25" customHeight="1" x14ac:dyDescent="0.25">
      <c r="A269" s="22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</row>
    <row r="270" spans="1:14" ht="14.25" customHeight="1" x14ac:dyDescent="0.25">
      <c r="A270" s="22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</row>
    <row r="271" spans="1:14" ht="14.25" customHeight="1" x14ac:dyDescent="0.25">
      <c r="A271" s="22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</row>
    <row r="272" spans="1:14" ht="14.25" customHeight="1" x14ac:dyDescent="0.25">
      <c r="A272" s="22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</row>
    <row r="273" spans="1:14" ht="14.25" customHeight="1" x14ac:dyDescent="0.25">
      <c r="A273" s="22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</row>
    <row r="274" spans="1:14" ht="14.25" customHeight="1" x14ac:dyDescent="0.25">
      <c r="A274" s="22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</row>
    <row r="275" spans="1:14" ht="14.25" customHeight="1" x14ac:dyDescent="0.25">
      <c r="A275" s="22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</row>
    <row r="276" spans="1:14" ht="14.25" customHeight="1" x14ac:dyDescent="0.25">
      <c r="A276" s="22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</row>
    <row r="277" spans="1:14" ht="14.25" customHeight="1" x14ac:dyDescent="0.25">
      <c r="A277" s="22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</row>
    <row r="278" spans="1:14" ht="14.25" customHeight="1" x14ac:dyDescent="0.25">
      <c r="A278" s="22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</row>
    <row r="279" spans="1:14" ht="14.25" customHeight="1" x14ac:dyDescent="0.25">
      <c r="A279" s="22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</row>
    <row r="280" spans="1:14" ht="14.25" customHeight="1" x14ac:dyDescent="0.25">
      <c r="A280" s="22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</row>
    <row r="281" spans="1:14" ht="14.25" customHeight="1" x14ac:dyDescent="0.25">
      <c r="A281" s="22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</row>
    <row r="282" spans="1:14" ht="14.25" customHeight="1" x14ac:dyDescent="0.25">
      <c r="A282" s="22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</row>
    <row r="283" spans="1:14" ht="14.25" customHeight="1" x14ac:dyDescent="0.25">
      <c r="A283" s="22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</row>
    <row r="284" spans="1:14" ht="14.25" customHeight="1" x14ac:dyDescent="0.25">
      <c r="A284" s="22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</row>
    <row r="285" spans="1:14" ht="14.25" customHeight="1" x14ac:dyDescent="0.25">
      <c r="A285" s="22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</row>
    <row r="286" spans="1:14" ht="14.25" customHeight="1" x14ac:dyDescent="0.25">
      <c r="A286" s="22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</row>
    <row r="287" spans="1:14" ht="14.25" customHeight="1" x14ac:dyDescent="0.25">
      <c r="A287" s="22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</row>
    <row r="288" spans="1:14" ht="14.25" customHeight="1" x14ac:dyDescent="0.25">
      <c r="A288" s="22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</row>
    <row r="289" spans="1:14" ht="14.25" customHeight="1" x14ac:dyDescent="0.25">
      <c r="A289" s="22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</row>
    <row r="290" spans="1:14" ht="14.25" customHeight="1" x14ac:dyDescent="0.25">
      <c r="A290" s="22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</row>
    <row r="291" spans="1:14" ht="14.25" customHeight="1" x14ac:dyDescent="0.25">
      <c r="A291" s="22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</row>
    <row r="292" spans="1:14" ht="14.25" customHeight="1" x14ac:dyDescent="0.25">
      <c r="A292" s="22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</row>
    <row r="293" spans="1:14" ht="14.25" customHeight="1" x14ac:dyDescent="0.25">
      <c r="A293" s="22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</row>
    <row r="294" spans="1:14" ht="14.25" customHeight="1" x14ac:dyDescent="0.25">
      <c r="A294" s="22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</row>
    <row r="295" spans="1:14" ht="14.25" customHeight="1" x14ac:dyDescent="0.25">
      <c r="A295" s="22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</row>
    <row r="296" spans="1:14" ht="14.25" customHeight="1" x14ac:dyDescent="0.25">
      <c r="A296" s="22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</row>
    <row r="297" spans="1:14" ht="14.25" customHeight="1" x14ac:dyDescent="0.25">
      <c r="A297" s="22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</row>
    <row r="298" spans="1:14" ht="14.25" customHeight="1" x14ac:dyDescent="0.25">
      <c r="A298" s="22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</row>
    <row r="299" spans="1:14" ht="14.25" customHeight="1" x14ac:dyDescent="0.25">
      <c r="A299" s="22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</row>
    <row r="300" spans="1:14" ht="14.25" customHeight="1" x14ac:dyDescent="0.25">
      <c r="A300" s="22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</row>
    <row r="301" spans="1:14" ht="14.25" customHeight="1" x14ac:dyDescent="0.25">
      <c r="A301" s="22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</row>
    <row r="302" spans="1:14" ht="14.25" customHeight="1" x14ac:dyDescent="0.25">
      <c r="A302" s="22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</row>
    <row r="303" spans="1:14" ht="14.25" customHeight="1" x14ac:dyDescent="0.25">
      <c r="A303" s="22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</row>
    <row r="304" spans="1:14" ht="14.25" customHeight="1" x14ac:dyDescent="0.25">
      <c r="A304" s="22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</row>
    <row r="305" spans="1:14" ht="14.25" customHeight="1" x14ac:dyDescent="0.25">
      <c r="A305" s="22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</row>
    <row r="306" spans="1:14" ht="14.25" customHeight="1" x14ac:dyDescent="0.25">
      <c r="A306" s="22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</row>
    <row r="307" spans="1:14" ht="14.25" customHeight="1" x14ac:dyDescent="0.25">
      <c r="A307" s="22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</row>
    <row r="308" spans="1:14" ht="14.25" customHeight="1" x14ac:dyDescent="0.25">
      <c r="A308" s="22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</row>
    <row r="309" spans="1:14" ht="14.25" customHeight="1" x14ac:dyDescent="0.25">
      <c r="A309" s="22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</row>
    <row r="310" spans="1:14" ht="14.25" customHeight="1" x14ac:dyDescent="0.25">
      <c r="A310" s="22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</row>
    <row r="311" spans="1:14" ht="14.25" customHeight="1" x14ac:dyDescent="0.25">
      <c r="A311" s="22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</row>
    <row r="312" spans="1:14" ht="14.25" customHeight="1" x14ac:dyDescent="0.25">
      <c r="A312" s="22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</row>
    <row r="313" spans="1:14" ht="14.25" customHeight="1" x14ac:dyDescent="0.25">
      <c r="A313" s="22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</row>
    <row r="314" spans="1:14" ht="14.25" customHeight="1" x14ac:dyDescent="0.25">
      <c r="A314" s="22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</row>
    <row r="315" spans="1:14" ht="14.25" customHeight="1" x14ac:dyDescent="0.25">
      <c r="A315" s="22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</row>
    <row r="316" spans="1:14" ht="14.25" customHeight="1" x14ac:dyDescent="0.25">
      <c r="A316" s="22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</row>
    <row r="317" spans="1:14" ht="14.25" customHeight="1" x14ac:dyDescent="0.25">
      <c r="A317" s="22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</row>
    <row r="318" spans="1:14" ht="14.25" customHeight="1" x14ac:dyDescent="0.25">
      <c r="A318" s="22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</row>
    <row r="319" spans="1:14" ht="14.25" customHeight="1" x14ac:dyDescent="0.25">
      <c r="A319" s="22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</row>
    <row r="320" spans="1:14" ht="14.25" customHeight="1" x14ac:dyDescent="0.25">
      <c r="A320" s="22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</row>
    <row r="321" spans="1:14" ht="14.25" customHeight="1" x14ac:dyDescent="0.25">
      <c r="A321" s="22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</row>
    <row r="322" spans="1:14" ht="14.25" customHeight="1" x14ac:dyDescent="0.25">
      <c r="A322" s="22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</row>
    <row r="323" spans="1:14" ht="14.25" customHeight="1" x14ac:dyDescent="0.25">
      <c r="A323" s="22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</row>
    <row r="324" spans="1:14" ht="14.25" customHeight="1" x14ac:dyDescent="0.25">
      <c r="A324" s="22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</row>
    <row r="325" spans="1:14" ht="14.25" customHeight="1" x14ac:dyDescent="0.25">
      <c r="A325" s="22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</row>
    <row r="326" spans="1:14" ht="14.25" customHeight="1" x14ac:dyDescent="0.25">
      <c r="A326" s="22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</row>
    <row r="327" spans="1:14" ht="14.25" customHeight="1" x14ac:dyDescent="0.25">
      <c r="A327" s="22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</row>
    <row r="328" spans="1:14" ht="14.25" customHeight="1" x14ac:dyDescent="0.25">
      <c r="A328" s="22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</row>
    <row r="329" spans="1:14" ht="14.25" customHeight="1" x14ac:dyDescent="0.25">
      <c r="A329" s="22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</row>
    <row r="330" spans="1:14" ht="14.25" customHeight="1" x14ac:dyDescent="0.25">
      <c r="A330" s="22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</row>
    <row r="331" spans="1:14" ht="14.25" customHeight="1" x14ac:dyDescent="0.25">
      <c r="A331" s="22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</row>
    <row r="332" spans="1:14" ht="14.25" customHeight="1" x14ac:dyDescent="0.25">
      <c r="A332" s="22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</row>
    <row r="333" spans="1:14" ht="14.25" customHeight="1" x14ac:dyDescent="0.25">
      <c r="A333" s="22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</row>
    <row r="334" spans="1:14" ht="14.25" customHeight="1" x14ac:dyDescent="0.25">
      <c r="A334" s="22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</row>
    <row r="335" spans="1:14" ht="14.25" customHeight="1" x14ac:dyDescent="0.25">
      <c r="A335" s="22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</row>
    <row r="336" spans="1:14" ht="14.25" customHeight="1" x14ac:dyDescent="0.25">
      <c r="A336" s="22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</row>
    <row r="337" spans="1:14" ht="14.25" customHeight="1" x14ac:dyDescent="0.25">
      <c r="A337" s="22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</row>
    <row r="338" spans="1:14" ht="14.25" customHeight="1" x14ac:dyDescent="0.25">
      <c r="A338" s="22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</row>
    <row r="339" spans="1:14" ht="14.25" customHeight="1" x14ac:dyDescent="0.25">
      <c r="A339" s="22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</row>
    <row r="340" spans="1:14" ht="14.25" customHeight="1" x14ac:dyDescent="0.25">
      <c r="A340" s="22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</row>
    <row r="341" spans="1:14" ht="14.25" customHeight="1" x14ac:dyDescent="0.25">
      <c r="A341" s="22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</row>
    <row r="342" spans="1:14" ht="14.25" customHeight="1" x14ac:dyDescent="0.25">
      <c r="A342" s="22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</row>
    <row r="343" spans="1:14" ht="14.25" customHeight="1" x14ac:dyDescent="0.25">
      <c r="A343" s="22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</row>
    <row r="344" spans="1:14" ht="14.25" customHeight="1" x14ac:dyDescent="0.25">
      <c r="A344" s="22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</row>
    <row r="345" spans="1:14" ht="14.25" customHeight="1" x14ac:dyDescent="0.25">
      <c r="A345" s="22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</row>
    <row r="346" spans="1:14" ht="14.25" customHeight="1" x14ac:dyDescent="0.25">
      <c r="A346" s="22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</row>
    <row r="347" spans="1:14" ht="14.25" customHeight="1" x14ac:dyDescent="0.25">
      <c r="A347" s="22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</row>
    <row r="348" spans="1:14" ht="14.25" customHeight="1" x14ac:dyDescent="0.25">
      <c r="A348" s="22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</row>
    <row r="349" spans="1:14" ht="14.25" customHeight="1" x14ac:dyDescent="0.25">
      <c r="A349" s="22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</row>
    <row r="350" spans="1:14" ht="14.25" customHeight="1" x14ac:dyDescent="0.25">
      <c r="A350" s="22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</row>
    <row r="351" spans="1:14" ht="14.25" customHeight="1" x14ac:dyDescent="0.25">
      <c r="A351" s="22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</row>
    <row r="352" spans="1:14" ht="14.25" customHeight="1" x14ac:dyDescent="0.25">
      <c r="A352" s="22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</row>
    <row r="353" spans="1:14" ht="14.25" customHeight="1" x14ac:dyDescent="0.25">
      <c r="A353" s="22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</row>
    <row r="354" spans="1:14" ht="14.25" customHeight="1" x14ac:dyDescent="0.25">
      <c r="A354" s="22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</row>
    <row r="355" spans="1:14" ht="14.25" customHeight="1" x14ac:dyDescent="0.25">
      <c r="A355" s="22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</row>
    <row r="356" spans="1:14" ht="14.25" customHeight="1" x14ac:dyDescent="0.25">
      <c r="A356" s="22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</row>
    <row r="357" spans="1:14" ht="14.25" customHeight="1" x14ac:dyDescent="0.25">
      <c r="A357" s="22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</row>
    <row r="358" spans="1:14" ht="14.25" customHeight="1" x14ac:dyDescent="0.25">
      <c r="A358" s="22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</row>
    <row r="359" spans="1:14" ht="14.25" customHeight="1" x14ac:dyDescent="0.25">
      <c r="A359" s="22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</row>
    <row r="360" spans="1:14" ht="14.25" customHeight="1" x14ac:dyDescent="0.25">
      <c r="A360" s="22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</row>
    <row r="361" spans="1:14" ht="14.25" customHeight="1" x14ac:dyDescent="0.25">
      <c r="A361" s="22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</row>
    <row r="362" spans="1:14" ht="14.25" customHeight="1" x14ac:dyDescent="0.25">
      <c r="A362" s="22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</row>
    <row r="363" spans="1:14" ht="14.25" customHeight="1" x14ac:dyDescent="0.25">
      <c r="A363" s="22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</row>
    <row r="364" spans="1:14" ht="14.25" customHeight="1" x14ac:dyDescent="0.25">
      <c r="A364" s="22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</row>
    <row r="365" spans="1:14" ht="14.25" customHeight="1" x14ac:dyDescent="0.25">
      <c r="A365" s="22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</row>
    <row r="366" spans="1:14" ht="14.25" customHeight="1" x14ac:dyDescent="0.25">
      <c r="A366" s="22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</row>
    <row r="367" spans="1:14" ht="14.25" customHeight="1" x14ac:dyDescent="0.25">
      <c r="A367" s="22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</row>
    <row r="368" spans="1:14" ht="14.25" customHeight="1" x14ac:dyDescent="0.25">
      <c r="A368" s="22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</row>
    <row r="369" spans="1:14" ht="14.25" customHeight="1" x14ac:dyDescent="0.25">
      <c r="A369" s="22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</row>
    <row r="370" spans="1:14" ht="14.25" customHeight="1" x14ac:dyDescent="0.25">
      <c r="A370" s="22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</row>
    <row r="371" spans="1:14" ht="14.25" customHeight="1" x14ac:dyDescent="0.25">
      <c r="A371" s="22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</row>
    <row r="372" spans="1:14" ht="14.25" customHeight="1" x14ac:dyDescent="0.25">
      <c r="A372" s="22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</row>
    <row r="373" spans="1:14" ht="14.25" customHeight="1" x14ac:dyDescent="0.25">
      <c r="A373" s="22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</row>
    <row r="374" spans="1:14" ht="14.25" customHeight="1" x14ac:dyDescent="0.25">
      <c r="A374" s="22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</row>
    <row r="375" spans="1:14" ht="14.25" customHeight="1" x14ac:dyDescent="0.25">
      <c r="A375" s="22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</row>
    <row r="376" spans="1:14" ht="14.25" customHeight="1" x14ac:dyDescent="0.25">
      <c r="A376" s="22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</row>
    <row r="377" spans="1:14" ht="14.25" customHeight="1" x14ac:dyDescent="0.25">
      <c r="A377" s="22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</row>
    <row r="378" spans="1:14" ht="14.25" customHeight="1" x14ac:dyDescent="0.25">
      <c r="A378" s="22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</row>
    <row r="379" spans="1:14" ht="14.25" customHeight="1" x14ac:dyDescent="0.25">
      <c r="A379" s="22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</row>
    <row r="380" spans="1:14" ht="14.25" customHeight="1" x14ac:dyDescent="0.25">
      <c r="A380" s="22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</row>
    <row r="381" spans="1:14" ht="14.25" customHeight="1" x14ac:dyDescent="0.25">
      <c r="A381" s="22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</row>
    <row r="382" spans="1:14" ht="14.25" customHeight="1" x14ac:dyDescent="0.25">
      <c r="A382" s="22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</row>
    <row r="383" spans="1:14" ht="14.25" customHeight="1" x14ac:dyDescent="0.25">
      <c r="A383" s="22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</row>
    <row r="384" spans="1:14" ht="14.25" customHeight="1" x14ac:dyDescent="0.25">
      <c r="A384" s="22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</row>
    <row r="385" spans="1:14" ht="14.25" customHeight="1" x14ac:dyDescent="0.25">
      <c r="A385" s="22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</row>
    <row r="386" spans="1:14" ht="14.25" customHeight="1" x14ac:dyDescent="0.25">
      <c r="A386" s="22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</row>
    <row r="387" spans="1:14" ht="14.25" customHeight="1" x14ac:dyDescent="0.25">
      <c r="A387" s="22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</row>
    <row r="388" spans="1:14" ht="14.25" customHeight="1" x14ac:dyDescent="0.25">
      <c r="A388" s="22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</row>
    <row r="389" spans="1:14" ht="14.25" customHeight="1" x14ac:dyDescent="0.25">
      <c r="A389" s="22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</row>
    <row r="390" spans="1:14" ht="14.25" customHeight="1" x14ac:dyDescent="0.25">
      <c r="A390" s="22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</row>
    <row r="391" spans="1:14" ht="14.25" customHeight="1" x14ac:dyDescent="0.25">
      <c r="A391" s="22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</row>
    <row r="392" spans="1:14" ht="14.25" customHeight="1" x14ac:dyDescent="0.25">
      <c r="A392" s="22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</row>
    <row r="393" spans="1:14" ht="14.25" customHeight="1" x14ac:dyDescent="0.25">
      <c r="A393" s="22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</row>
    <row r="394" spans="1:14" ht="14.25" customHeight="1" x14ac:dyDescent="0.25">
      <c r="A394" s="22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</row>
    <row r="395" spans="1:14" ht="14.25" customHeight="1" x14ac:dyDescent="0.25">
      <c r="A395" s="22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</row>
    <row r="396" spans="1:14" ht="14.25" customHeight="1" x14ac:dyDescent="0.25">
      <c r="A396" s="22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</row>
    <row r="397" spans="1:14" ht="14.25" customHeight="1" x14ac:dyDescent="0.25">
      <c r="A397" s="22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</row>
    <row r="398" spans="1:14" ht="14.25" customHeight="1" x14ac:dyDescent="0.25">
      <c r="A398" s="22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</row>
    <row r="399" spans="1:14" ht="14.25" customHeight="1" x14ac:dyDescent="0.25">
      <c r="A399" s="22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</row>
    <row r="400" spans="1:14" ht="14.25" customHeight="1" x14ac:dyDescent="0.25">
      <c r="A400" s="22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</row>
    <row r="401" spans="1:14" ht="14.25" customHeight="1" x14ac:dyDescent="0.25">
      <c r="A401" s="22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</row>
    <row r="402" spans="1:14" ht="14.25" customHeight="1" x14ac:dyDescent="0.25">
      <c r="A402" s="22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</row>
    <row r="403" spans="1:14" ht="14.25" customHeight="1" x14ac:dyDescent="0.25">
      <c r="A403" s="22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</row>
    <row r="404" spans="1:14" ht="14.25" customHeight="1" x14ac:dyDescent="0.25">
      <c r="A404" s="22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</row>
    <row r="405" spans="1:14" ht="14.25" customHeight="1" x14ac:dyDescent="0.25">
      <c r="A405" s="22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</row>
    <row r="406" spans="1:14" ht="14.25" customHeight="1" x14ac:dyDescent="0.25">
      <c r="A406" s="22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</row>
    <row r="407" spans="1:14" ht="14.25" customHeight="1" x14ac:dyDescent="0.25">
      <c r="A407" s="22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</row>
    <row r="408" spans="1:14" ht="14.25" customHeight="1" x14ac:dyDescent="0.25">
      <c r="A408" s="22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</row>
    <row r="409" spans="1:14" ht="14.25" customHeight="1" x14ac:dyDescent="0.25">
      <c r="A409" s="22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</row>
    <row r="410" spans="1:14" ht="14.25" customHeight="1" x14ac:dyDescent="0.25">
      <c r="A410" s="22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</row>
    <row r="411" spans="1:14" ht="14.25" customHeight="1" x14ac:dyDescent="0.25">
      <c r="A411" s="22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</row>
    <row r="412" spans="1:14" ht="14.25" customHeight="1" x14ac:dyDescent="0.25">
      <c r="A412" s="22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</row>
    <row r="413" spans="1:14" ht="14.25" customHeight="1" x14ac:dyDescent="0.25">
      <c r="A413" s="22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</row>
    <row r="414" spans="1:14" ht="14.25" customHeight="1" x14ac:dyDescent="0.25">
      <c r="A414" s="22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</row>
    <row r="415" spans="1:14" ht="14.25" customHeight="1" x14ac:dyDescent="0.25">
      <c r="A415" s="22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</row>
    <row r="416" spans="1:14" ht="14.25" customHeight="1" x14ac:dyDescent="0.25">
      <c r="A416" s="22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</row>
    <row r="417" spans="1:14" ht="14.25" customHeight="1" x14ac:dyDescent="0.25">
      <c r="A417" s="22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</row>
    <row r="418" spans="1:14" ht="14.25" customHeight="1" x14ac:dyDescent="0.25">
      <c r="A418" s="22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</row>
    <row r="419" spans="1:14" ht="14.25" customHeight="1" x14ac:dyDescent="0.25">
      <c r="A419" s="22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</row>
    <row r="420" spans="1:14" ht="14.25" customHeight="1" x14ac:dyDescent="0.25">
      <c r="A420" s="22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</row>
    <row r="421" spans="1:14" ht="14.25" customHeight="1" x14ac:dyDescent="0.25">
      <c r="A421" s="22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</row>
    <row r="422" spans="1:14" ht="14.25" customHeight="1" x14ac:dyDescent="0.25">
      <c r="A422" s="22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</row>
    <row r="423" spans="1:14" ht="14.25" customHeight="1" x14ac:dyDescent="0.25">
      <c r="A423" s="22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</row>
    <row r="424" spans="1:14" ht="14.25" customHeight="1" x14ac:dyDescent="0.25">
      <c r="A424" s="22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</row>
    <row r="425" spans="1:14" ht="14.25" customHeight="1" x14ac:dyDescent="0.25">
      <c r="A425" s="22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</row>
    <row r="426" spans="1:14" ht="14.25" customHeight="1" x14ac:dyDescent="0.25">
      <c r="A426" s="22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</row>
    <row r="427" spans="1:14" ht="14.25" customHeight="1" x14ac:dyDescent="0.25">
      <c r="A427" s="22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</row>
    <row r="428" spans="1:14" ht="14.25" customHeight="1" x14ac:dyDescent="0.25">
      <c r="A428" s="22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</row>
    <row r="429" spans="1:14" ht="14.25" customHeight="1" x14ac:dyDescent="0.25">
      <c r="A429" s="22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</row>
    <row r="430" spans="1:14" ht="14.25" customHeight="1" x14ac:dyDescent="0.25">
      <c r="A430" s="22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</row>
    <row r="431" spans="1:14" ht="14.25" customHeight="1" x14ac:dyDescent="0.25">
      <c r="A431" s="22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</row>
    <row r="432" spans="1:14" ht="14.25" customHeight="1" x14ac:dyDescent="0.25">
      <c r="A432" s="22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</row>
    <row r="433" spans="1:14" ht="14.25" customHeight="1" x14ac:dyDescent="0.25">
      <c r="A433" s="22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</row>
    <row r="434" spans="1:14" ht="14.25" customHeight="1" x14ac:dyDescent="0.25">
      <c r="A434" s="22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</row>
    <row r="435" spans="1:14" ht="14.25" customHeight="1" x14ac:dyDescent="0.25">
      <c r="A435" s="22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</row>
    <row r="436" spans="1:14" ht="14.25" customHeight="1" x14ac:dyDescent="0.25">
      <c r="A436" s="22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</row>
    <row r="437" spans="1:14" ht="14.25" customHeight="1" x14ac:dyDescent="0.25">
      <c r="A437" s="22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</row>
    <row r="438" spans="1:14" ht="14.25" customHeight="1" x14ac:dyDescent="0.25">
      <c r="A438" s="22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</row>
    <row r="439" spans="1:14" ht="14.25" customHeight="1" x14ac:dyDescent="0.25">
      <c r="A439" s="22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</row>
    <row r="440" spans="1:14" ht="14.25" customHeight="1" x14ac:dyDescent="0.25">
      <c r="A440" s="22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</row>
    <row r="441" spans="1:14" ht="14.25" customHeight="1" x14ac:dyDescent="0.25">
      <c r="A441" s="22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</row>
    <row r="442" spans="1:14" ht="14.25" customHeight="1" x14ac:dyDescent="0.25">
      <c r="A442" s="22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</row>
    <row r="443" spans="1:14" ht="14.25" customHeight="1" x14ac:dyDescent="0.25">
      <c r="A443" s="22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</row>
    <row r="444" spans="1:14" ht="14.25" customHeight="1" x14ac:dyDescent="0.25">
      <c r="A444" s="22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</row>
    <row r="445" spans="1:14" ht="14.25" customHeight="1" x14ac:dyDescent="0.25">
      <c r="A445" s="22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</row>
    <row r="446" spans="1:14" ht="14.25" customHeight="1" x14ac:dyDescent="0.25">
      <c r="A446" s="22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</row>
    <row r="447" spans="1:14" ht="14.25" customHeight="1" x14ac:dyDescent="0.25">
      <c r="A447" s="22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</row>
    <row r="448" spans="1:14" ht="14.25" customHeight="1" x14ac:dyDescent="0.25">
      <c r="A448" s="22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</row>
    <row r="449" spans="1:14" ht="14.25" customHeight="1" x14ac:dyDescent="0.25">
      <c r="A449" s="22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</row>
    <row r="450" spans="1:14" ht="14.25" customHeight="1" x14ac:dyDescent="0.25">
      <c r="A450" s="22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</row>
    <row r="451" spans="1:14" ht="14.25" customHeight="1" x14ac:dyDescent="0.25">
      <c r="A451" s="22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</row>
    <row r="452" spans="1:14" ht="14.25" customHeight="1" x14ac:dyDescent="0.25">
      <c r="A452" s="22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</row>
    <row r="453" spans="1:14" ht="14.25" customHeight="1" x14ac:dyDescent="0.25">
      <c r="A453" s="22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</row>
    <row r="454" spans="1:14" ht="14.25" customHeight="1" x14ac:dyDescent="0.25">
      <c r="A454" s="22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</row>
    <row r="455" spans="1:14" ht="14.25" customHeight="1" x14ac:dyDescent="0.25">
      <c r="A455" s="22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</row>
    <row r="456" spans="1:14" ht="14.25" customHeight="1" x14ac:dyDescent="0.25">
      <c r="A456" s="22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</row>
    <row r="457" spans="1:14" ht="14.25" customHeight="1" x14ac:dyDescent="0.25">
      <c r="A457" s="22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</row>
    <row r="458" spans="1:14" ht="14.25" customHeight="1" x14ac:dyDescent="0.25">
      <c r="A458" s="22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</row>
    <row r="459" spans="1:14" ht="14.25" customHeight="1" x14ac:dyDescent="0.25">
      <c r="A459" s="22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</row>
    <row r="460" spans="1:14" ht="14.25" customHeight="1" x14ac:dyDescent="0.25">
      <c r="A460" s="22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</row>
    <row r="461" spans="1:14" ht="14.25" customHeight="1" x14ac:dyDescent="0.25">
      <c r="A461" s="22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</row>
    <row r="462" spans="1:14" ht="14.25" customHeight="1" x14ac:dyDescent="0.25">
      <c r="A462" s="22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</row>
    <row r="463" spans="1:14" ht="14.25" customHeight="1" x14ac:dyDescent="0.25">
      <c r="A463" s="22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</row>
    <row r="464" spans="1:14" ht="14.25" customHeight="1" x14ac:dyDescent="0.25">
      <c r="A464" s="22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</row>
    <row r="465" spans="1:14" ht="14.25" customHeight="1" x14ac:dyDescent="0.25">
      <c r="A465" s="22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</row>
    <row r="466" spans="1:14" ht="14.25" customHeight="1" x14ac:dyDescent="0.25">
      <c r="A466" s="22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</row>
    <row r="467" spans="1:14" ht="14.25" customHeight="1" x14ac:dyDescent="0.25">
      <c r="A467" s="22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</row>
    <row r="468" spans="1:14" ht="14.25" customHeight="1" x14ac:dyDescent="0.25">
      <c r="A468" s="22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</row>
    <row r="469" spans="1:14" ht="14.25" customHeight="1" x14ac:dyDescent="0.25">
      <c r="A469" s="22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</row>
    <row r="470" spans="1:14" ht="14.25" customHeight="1" x14ac:dyDescent="0.25">
      <c r="A470" s="22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</row>
    <row r="471" spans="1:14" ht="14.25" customHeight="1" x14ac:dyDescent="0.25">
      <c r="A471" s="22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</row>
    <row r="472" spans="1:14" ht="14.25" customHeight="1" x14ac:dyDescent="0.25">
      <c r="A472" s="22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</row>
    <row r="473" spans="1:14" ht="14.25" customHeight="1" x14ac:dyDescent="0.25">
      <c r="A473" s="22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</row>
    <row r="474" spans="1:14" ht="14.25" customHeight="1" x14ac:dyDescent="0.25">
      <c r="A474" s="22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</row>
    <row r="475" spans="1:14" ht="14.25" customHeight="1" x14ac:dyDescent="0.25">
      <c r="A475" s="22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</row>
    <row r="476" spans="1:14" ht="14.25" customHeight="1" x14ac:dyDescent="0.25">
      <c r="A476" s="22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</row>
    <row r="477" spans="1:14" ht="14.25" customHeight="1" x14ac:dyDescent="0.25">
      <c r="A477" s="22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</row>
    <row r="478" spans="1:14" ht="14.25" customHeight="1" x14ac:dyDescent="0.25">
      <c r="A478" s="22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</row>
    <row r="479" spans="1:14" ht="14.25" customHeight="1" x14ac:dyDescent="0.25">
      <c r="A479" s="22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</row>
    <row r="480" spans="1:14" ht="14.25" customHeight="1" x14ac:dyDescent="0.25">
      <c r="A480" s="22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</row>
    <row r="481" spans="1:14" ht="14.25" customHeight="1" x14ac:dyDescent="0.25">
      <c r="A481" s="22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</row>
    <row r="482" spans="1:14" ht="14.25" customHeight="1" x14ac:dyDescent="0.25">
      <c r="A482" s="22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</row>
    <row r="483" spans="1:14" ht="14.25" customHeight="1" x14ac:dyDescent="0.25">
      <c r="A483" s="22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</row>
    <row r="484" spans="1:14" ht="14.25" customHeight="1" x14ac:dyDescent="0.25">
      <c r="A484" s="22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</row>
    <row r="485" spans="1:14" ht="14.25" customHeight="1" x14ac:dyDescent="0.25">
      <c r="A485" s="22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</row>
    <row r="486" spans="1:14" ht="14.25" customHeight="1" x14ac:dyDescent="0.25">
      <c r="A486" s="22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</row>
    <row r="487" spans="1:14" ht="14.25" customHeight="1" x14ac:dyDescent="0.25">
      <c r="A487" s="22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</row>
    <row r="488" spans="1:14" ht="14.25" customHeight="1" x14ac:dyDescent="0.25">
      <c r="A488" s="22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</row>
    <row r="489" spans="1:14" ht="14.25" customHeight="1" x14ac:dyDescent="0.25">
      <c r="A489" s="22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</row>
    <row r="490" spans="1:14" ht="14.25" customHeight="1" x14ac:dyDescent="0.25">
      <c r="A490" s="22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</row>
    <row r="491" spans="1:14" ht="14.25" customHeight="1" x14ac:dyDescent="0.25">
      <c r="A491" s="22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</row>
    <row r="492" spans="1:14" ht="14.25" customHeight="1" x14ac:dyDescent="0.25">
      <c r="A492" s="22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</row>
    <row r="493" spans="1:14" ht="14.25" customHeight="1" x14ac:dyDescent="0.25">
      <c r="A493" s="22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</row>
    <row r="494" spans="1:14" ht="14.25" customHeight="1" x14ac:dyDescent="0.25">
      <c r="A494" s="22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</row>
    <row r="495" spans="1:14" ht="14.25" customHeight="1" x14ac:dyDescent="0.25">
      <c r="A495" s="22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</row>
    <row r="496" spans="1:14" ht="14.25" customHeight="1" x14ac:dyDescent="0.25">
      <c r="A496" s="22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</row>
    <row r="497" spans="1:14" ht="14.25" customHeight="1" x14ac:dyDescent="0.25">
      <c r="A497" s="22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</row>
    <row r="498" spans="1:14" ht="14.25" customHeight="1" x14ac:dyDescent="0.25">
      <c r="A498" s="22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</row>
    <row r="499" spans="1:14" ht="14.25" customHeight="1" x14ac:dyDescent="0.25">
      <c r="A499" s="22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</row>
    <row r="500" spans="1:14" ht="14.25" customHeight="1" x14ac:dyDescent="0.25">
      <c r="A500" s="22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</row>
    <row r="501" spans="1:14" ht="14.25" customHeight="1" x14ac:dyDescent="0.25">
      <c r="A501" s="22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</row>
    <row r="502" spans="1:14" ht="14.25" customHeight="1" x14ac:dyDescent="0.25">
      <c r="A502" s="22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</row>
    <row r="503" spans="1:14" ht="14.25" customHeight="1" x14ac:dyDescent="0.25">
      <c r="A503" s="22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</row>
    <row r="504" spans="1:14" ht="14.25" customHeight="1" x14ac:dyDescent="0.25">
      <c r="A504" s="22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</row>
    <row r="505" spans="1:14" ht="14.25" customHeight="1" x14ac:dyDescent="0.25">
      <c r="A505" s="22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</row>
    <row r="506" spans="1:14" ht="14.25" customHeight="1" x14ac:dyDescent="0.25">
      <c r="A506" s="22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</row>
    <row r="507" spans="1:14" ht="14.25" customHeight="1" x14ac:dyDescent="0.25">
      <c r="A507" s="22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</row>
    <row r="508" spans="1:14" ht="14.25" customHeight="1" x14ac:dyDescent="0.25">
      <c r="A508" s="22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</row>
    <row r="509" spans="1:14" ht="14.25" customHeight="1" x14ac:dyDescent="0.25">
      <c r="A509" s="22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</row>
    <row r="510" spans="1:14" ht="14.25" customHeight="1" x14ac:dyDescent="0.25">
      <c r="A510" s="22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</row>
    <row r="511" spans="1:14" ht="14.25" customHeight="1" x14ac:dyDescent="0.25">
      <c r="A511" s="22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</row>
    <row r="512" spans="1:14" ht="14.25" customHeight="1" x14ac:dyDescent="0.25">
      <c r="A512" s="22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</row>
    <row r="513" spans="1:14" ht="14.25" customHeight="1" x14ac:dyDescent="0.25">
      <c r="A513" s="22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</row>
    <row r="514" spans="1:14" ht="14.25" customHeight="1" x14ac:dyDescent="0.25">
      <c r="A514" s="22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</row>
    <row r="515" spans="1:14" ht="14.25" customHeight="1" x14ac:dyDescent="0.25">
      <c r="A515" s="22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</row>
    <row r="516" spans="1:14" ht="14.25" customHeight="1" x14ac:dyDescent="0.25">
      <c r="A516" s="22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</row>
    <row r="517" spans="1:14" ht="14.25" customHeight="1" x14ac:dyDescent="0.25">
      <c r="A517" s="22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</row>
    <row r="518" spans="1:14" ht="14.25" customHeight="1" x14ac:dyDescent="0.25">
      <c r="A518" s="22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</row>
    <row r="519" spans="1:14" ht="14.25" customHeight="1" x14ac:dyDescent="0.25">
      <c r="A519" s="22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</row>
    <row r="520" spans="1:14" ht="14.25" customHeight="1" x14ac:dyDescent="0.25">
      <c r="A520" s="22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</row>
    <row r="521" spans="1:14" ht="14.25" customHeight="1" x14ac:dyDescent="0.25">
      <c r="A521" s="22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</row>
    <row r="522" spans="1:14" ht="14.25" customHeight="1" x14ac:dyDescent="0.25">
      <c r="A522" s="22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</row>
    <row r="523" spans="1:14" ht="14.25" customHeight="1" x14ac:dyDescent="0.25">
      <c r="A523" s="22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</row>
    <row r="524" spans="1:14" ht="14.25" customHeight="1" x14ac:dyDescent="0.25">
      <c r="A524" s="22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</row>
    <row r="525" spans="1:14" ht="14.25" customHeight="1" x14ac:dyDescent="0.25">
      <c r="A525" s="22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</row>
    <row r="526" spans="1:14" ht="14.25" customHeight="1" x14ac:dyDescent="0.25">
      <c r="A526" s="22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</row>
    <row r="527" spans="1:14" ht="14.25" customHeight="1" x14ac:dyDescent="0.25">
      <c r="A527" s="22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</row>
    <row r="528" spans="1:14" ht="14.25" customHeight="1" x14ac:dyDescent="0.25">
      <c r="A528" s="22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</row>
    <row r="529" spans="1:14" ht="14.25" customHeight="1" x14ac:dyDescent="0.25">
      <c r="A529" s="22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</row>
    <row r="530" spans="1:14" ht="14.25" customHeight="1" x14ac:dyDescent="0.25">
      <c r="A530" s="22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</row>
    <row r="531" spans="1:14" ht="14.25" customHeight="1" x14ac:dyDescent="0.25">
      <c r="A531" s="22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</row>
    <row r="532" spans="1:14" ht="14.25" customHeight="1" x14ac:dyDescent="0.25">
      <c r="A532" s="22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</row>
    <row r="533" spans="1:14" ht="14.25" customHeight="1" x14ac:dyDescent="0.25">
      <c r="A533" s="22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</row>
    <row r="534" spans="1:14" ht="14.25" customHeight="1" x14ac:dyDescent="0.25">
      <c r="A534" s="22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</row>
    <row r="535" spans="1:14" ht="14.25" customHeight="1" x14ac:dyDescent="0.25">
      <c r="A535" s="22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</row>
    <row r="536" spans="1:14" ht="14.25" customHeight="1" x14ac:dyDescent="0.25">
      <c r="A536" s="22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</row>
    <row r="537" spans="1:14" ht="14.25" customHeight="1" x14ac:dyDescent="0.25">
      <c r="A537" s="22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</row>
    <row r="538" spans="1:14" ht="14.25" customHeight="1" x14ac:dyDescent="0.25">
      <c r="A538" s="22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</row>
    <row r="539" spans="1:14" ht="14.25" customHeight="1" x14ac:dyDescent="0.25">
      <c r="A539" s="22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</row>
    <row r="540" spans="1:14" ht="14.25" customHeight="1" x14ac:dyDescent="0.25">
      <c r="A540" s="22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</row>
    <row r="541" spans="1:14" ht="14.25" customHeight="1" x14ac:dyDescent="0.25">
      <c r="A541" s="22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</row>
    <row r="542" spans="1:14" ht="14.25" customHeight="1" x14ac:dyDescent="0.25">
      <c r="A542" s="22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</row>
    <row r="543" spans="1:14" ht="14.25" customHeight="1" x14ac:dyDescent="0.25">
      <c r="A543" s="22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</row>
    <row r="544" spans="1:14" ht="14.25" customHeight="1" x14ac:dyDescent="0.25">
      <c r="A544" s="22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</row>
    <row r="545" spans="1:14" ht="14.25" customHeight="1" x14ac:dyDescent="0.25">
      <c r="A545" s="22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</row>
    <row r="546" spans="1:14" ht="14.25" customHeight="1" x14ac:dyDescent="0.25">
      <c r="A546" s="22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</row>
    <row r="547" spans="1:14" ht="14.25" customHeight="1" x14ac:dyDescent="0.25">
      <c r="A547" s="22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</row>
    <row r="548" spans="1:14" ht="14.25" customHeight="1" x14ac:dyDescent="0.25">
      <c r="A548" s="22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</row>
    <row r="549" spans="1:14" ht="14.25" customHeight="1" x14ac:dyDescent="0.25">
      <c r="A549" s="22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</row>
    <row r="550" spans="1:14" ht="14.25" customHeight="1" x14ac:dyDescent="0.25">
      <c r="A550" s="22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</row>
    <row r="551" spans="1:14" ht="14.25" customHeight="1" x14ac:dyDescent="0.25">
      <c r="A551" s="22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</row>
    <row r="552" spans="1:14" ht="14.25" customHeight="1" x14ac:dyDescent="0.25">
      <c r="A552" s="22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</row>
    <row r="553" spans="1:14" ht="14.25" customHeight="1" x14ac:dyDescent="0.25">
      <c r="A553" s="22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</row>
    <row r="554" spans="1:14" ht="14.25" customHeight="1" x14ac:dyDescent="0.25">
      <c r="A554" s="22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</row>
    <row r="555" spans="1:14" ht="14.25" customHeight="1" x14ac:dyDescent="0.25">
      <c r="A555" s="22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</row>
    <row r="556" spans="1:14" ht="14.25" customHeight="1" x14ac:dyDescent="0.25">
      <c r="A556" s="22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</row>
    <row r="557" spans="1:14" ht="14.25" customHeight="1" x14ac:dyDescent="0.25">
      <c r="A557" s="22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</row>
    <row r="558" spans="1:14" ht="14.25" customHeight="1" x14ac:dyDescent="0.25">
      <c r="A558" s="22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</row>
    <row r="559" spans="1:14" ht="14.25" customHeight="1" x14ac:dyDescent="0.25">
      <c r="A559" s="22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</row>
    <row r="560" spans="1:14" ht="14.25" customHeight="1" x14ac:dyDescent="0.25">
      <c r="A560" s="22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</row>
    <row r="561" spans="1:14" ht="14.25" customHeight="1" x14ac:dyDescent="0.25">
      <c r="A561" s="22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</row>
    <row r="562" spans="1:14" ht="14.25" customHeight="1" x14ac:dyDescent="0.25">
      <c r="A562" s="22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</row>
    <row r="563" spans="1:14" ht="14.25" customHeight="1" x14ac:dyDescent="0.25">
      <c r="A563" s="22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</row>
    <row r="564" spans="1:14" ht="14.25" customHeight="1" x14ac:dyDescent="0.25">
      <c r="A564" s="22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</row>
    <row r="565" spans="1:14" ht="14.25" customHeight="1" x14ac:dyDescent="0.25">
      <c r="A565" s="22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</row>
    <row r="566" spans="1:14" ht="14.25" customHeight="1" x14ac:dyDescent="0.25">
      <c r="A566" s="22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</row>
    <row r="567" spans="1:14" ht="14.25" customHeight="1" x14ac:dyDescent="0.25">
      <c r="A567" s="22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</row>
    <row r="568" spans="1:14" ht="14.25" customHeight="1" x14ac:dyDescent="0.25">
      <c r="A568" s="22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</row>
    <row r="569" spans="1:14" ht="14.25" customHeight="1" x14ac:dyDescent="0.25">
      <c r="A569" s="22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</row>
    <row r="570" spans="1:14" ht="14.25" customHeight="1" x14ac:dyDescent="0.25">
      <c r="A570" s="22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</row>
    <row r="571" spans="1:14" ht="14.25" customHeight="1" x14ac:dyDescent="0.25">
      <c r="A571" s="22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</row>
    <row r="572" spans="1:14" ht="14.25" customHeight="1" x14ac:dyDescent="0.25">
      <c r="A572" s="22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</row>
    <row r="573" spans="1:14" ht="14.25" customHeight="1" x14ac:dyDescent="0.25">
      <c r="A573" s="22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</row>
    <row r="574" spans="1:14" ht="14.25" customHeight="1" x14ac:dyDescent="0.25">
      <c r="A574" s="22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</row>
    <row r="575" spans="1:14" ht="14.25" customHeight="1" x14ac:dyDescent="0.25">
      <c r="A575" s="22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</row>
    <row r="576" spans="1:14" ht="14.25" customHeight="1" x14ac:dyDescent="0.25">
      <c r="A576" s="22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</row>
    <row r="577" spans="1:14" ht="14.25" customHeight="1" x14ac:dyDescent="0.25">
      <c r="A577" s="22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</row>
    <row r="578" spans="1:14" ht="14.25" customHeight="1" x14ac:dyDescent="0.25">
      <c r="A578" s="22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</row>
    <row r="579" spans="1:14" ht="14.25" customHeight="1" x14ac:dyDescent="0.25">
      <c r="A579" s="22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</row>
    <row r="580" spans="1:14" ht="14.25" customHeight="1" x14ac:dyDescent="0.25">
      <c r="A580" s="22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</row>
    <row r="581" spans="1:14" ht="14.25" customHeight="1" x14ac:dyDescent="0.25">
      <c r="A581" s="22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</row>
    <row r="582" spans="1:14" ht="14.25" customHeight="1" x14ac:dyDescent="0.25">
      <c r="A582" s="22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</row>
    <row r="583" spans="1:14" ht="14.25" customHeight="1" x14ac:dyDescent="0.25">
      <c r="A583" s="22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</row>
    <row r="584" spans="1:14" ht="14.25" customHeight="1" x14ac:dyDescent="0.25">
      <c r="A584" s="22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</row>
    <row r="585" spans="1:14" ht="14.25" customHeight="1" x14ac:dyDescent="0.25">
      <c r="A585" s="22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</row>
    <row r="586" spans="1:14" ht="14.25" customHeight="1" x14ac:dyDescent="0.25">
      <c r="A586" s="22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</row>
    <row r="587" spans="1:14" ht="14.25" customHeight="1" x14ac:dyDescent="0.25">
      <c r="A587" s="22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</row>
    <row r="588" spans="1:14" ht="14.25" customHeight="1" x14ac:dyDescent="0.25">
      <c r="A588" s="22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</row>
    <row r="589" spans="1:14" ht="14.25" customHeight="1" x14ac:dyDescent="0.25">
      <c r="A589" s="22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</row>
    <row r="590" spans="1:14" ht="14.25" customHeight="1" x14ac:dyDescent="0.25">
      <c r="A590" s="22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</row>
    <row r="591" spans="1:14" ht="14.25" customHeight="1" x14ac:dyDescent="0.25">
      <c r="A591" s="22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</row>
    <row r="592" spans="1:14" ht="14.25" customHeight="1" x14ac:dyDescent="0.25">
      <c r="A592" s="22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</row>
    <row r="593" spans="1:14" ht="14.25" customHeight="1" x14ac:dyDescent="0.25">
      <c r="A593" s="22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</row>
    <row r="594" spans="1:14" ht="14.25" customHeight="1" x14ac:dyDescent="0.25">
      <c r="A594" s="22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</row>
    <row r="595" spans="1:14" ht="14.25" customHeight="1" x14ac:dyDescent="0.25">
      <c r="A595" s="22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</row>
    <row r="596" spans="1:14" ht="14.25" customHeight="1" x14ac:dyDescent="0.25">
      <c r="A596" s="22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</row>
    <row r="597" spans="1:14" ht="14.25" customHeight="1" x14ac:dyDescent="0.25">
      <c r="A597" s="22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</row>
    <row r="598" spans="1:14" ht="14.25" customHeight="1" x14ac:dyDescent="0.25">
      <c r="A598" s="22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</row>
    <row r="599" spans="1:14" ht="14.25" customHeight="1" x14ac:dyDescent="0.25">
      <c r="A599" s="22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</row>
    <row r="600" spans="1:14" ht="14.25" customHeight="1" x14ac:dyDescent="0.25">
      <c r="A600" s="22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</row>
    <row r="601" spans="1:14" ht="14.25" customHeight="1" x14ac:dyDescent="0.25">
      <c r="A601" s="22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</row>
    <row r="602" spans="1:14" ht="14.25" customHeight="1" x14ac:dyDescent="0.25">
      <c r="A602" s="22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</row>
    <row r="603" spans="1:14" ht="14.25" customHeight="1" x14ac:dyDescent="0.25">
      <c r="A603" s="22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</row>
    <row r="604" spans="1:14" ht="14.25" customHeight="1" x14ac:dyDescent="0.25">
      <c r="A604" s="22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</row>
    <row r="605" spans="1:14" ht="14.25" customHeight="1" x14ac:dyDescent="0.25">
      <c r="A605" s="22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</row>
    <row r="606" spans="1:14" ht="14.25" customHeight="1" x14ac:dyDescent="0.25">
      <c r="A606" s="22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</row>
    <row r="607" spans="1:14" ht="14.25" customHeight="1" x14ac:dyDescent="0.25">
      <c r="A607" s="22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</row>
    <row r="608" spans="1:14" ht="14.25" customHeight="1" x14ac:dyDescent="0.25">
      <c r="A608" s="22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</row>
    <row r="609" spans="1:14" ht="14.25" customHeight="1" x14ac:dyDescent="0.25">
      <c r="A609" s="22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</row>
    <row r="610" spans="1:14" ht="14.25" customHeight="1" x14ac:dyDescent="0.25">
      <c r="A610" s="22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</row>
    <row r="611" spans="1:14" ht="14.25" customHeight="1" x14ac:dyDescent="0.25">
      <c r="A611" s="22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</row>
    <row r="612" spans="1:14" ht="14.25" customHeight="1" x14ac:dyDescent="0.25">
      <c r="A612" s="22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</row>
    <row r="613" spans="1:14" ht="14.25" customHeight="1" x14ac:dyDescent="0.25">
      <c r="A613" s="22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</row>
    <row r="614" spans="1:14" ht="14.25" customHeight="1" x14ac:dyDescent="0.25">
      <c r="A614" s="22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</row>
    <row r="615" spans="1:14" ht="14.25" customHeight="1" x14ac:dyDescent="0.25">
      <c r="A615" s="22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</row>
    <row r="616" spans="1:14" ht="14.25" customHeight="1" x14ac:dyDescent="0.25">
      <c r="A616" s="22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</row>
    <row r="617" spans="1:14" ht="14.25" customHeight="1" x14ac:dyDescent="0.25">
      <c r="A617" s="22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</row>
    <row r="618" spans="1:14" ht="14.25" customHeight="1" x14ac:dyDescent="0.25">
      <c r="A618" s="22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</row>
    <row r="619" spans="1:14" ht="14.25" customHeight="1" x14ac:dyDescent="0.25">
      <c r="A619" s="22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</row>
    <row r="620" spans="1:14" ht="14.25" customHeight="1" x14ac:dyDescent="0.25">
      <c r="A620" s="22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</row>
    <row r="621" spans="1:14" ht="14.25" customHeight="1" x14ac:dyDescent="0.25">
      <c r="A621" s="22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</row>
    <row r="622" spans="1:14" ht="14.25" customHeight="1" x14ac:dyDescent="0.25">
      <c r="A622" s="22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</row>
    <row r="623" spans="1:14" ht="14.25" customHeight="1" x14ac:dyDescent="0.25">
      <c r="A623" s="22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</row>
    <row r="624" spans="1:14" ht="14.25" customHeight="1" x14ac:dyDescent="0.25">
      <c r="A624" s="22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</row>
    <row r="625" spans="1:14" ht="14.25" customHeight="1" x14ac:dyDescent="0.25">
      <c r="A625" s="22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</row>
    <row r="626" spans="1:14" ht="14.25" customHeight="1" x14ac:dyDescent="0.25">
      <c r="A626" s="22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</row>
    <row r="627" spans="1:14" ht="14.25" customHeight="1" x14ac:dyDescent="0.25">
      <c r="A627" s="22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</row>
    <row r="628" spans="1:14" ht="14.25" customHeight="1" x14ac:dyDescent="0.25">
      <c r="A628" s="22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</row>
    <row r="629" spans="1:14" ht="14.25" customHeight="1" x14ac:dyDescent="0.25">
      <c r="A629" s="22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</row>
    <row r="630" spans="1:14" ht="14.25" customHeight="1" x14ac:dyDescent="0.25">
      <c r="A630" s="22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</row>
    <row r="631" spans="1:14" ht="14.25" customHeight="1" x14ac:dyDescent="0.25">
      <c r="A631" s="22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</row>
    <row r="632" spans="1:14" ht="14.25" customHeight="1" x14ac:dyDescent="0.25">
      <c r="A632" s="22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</row>
    <row r="633" spans="1:14" ht="14.25" customHeight="1" x14ac:dyDescent="0.25">
      <c r="A633" s="22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</row>
    <row r="634" spans="1:14" ht="14.25" customHeight="1" x14ac:dyDescent="0.25">
      <c r="A634" s="22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</row>
    <row r="635" spans="1:14" ht="14.25" customHeight="1" x14ac:dyDescent="0.25">
      <c r="A635" s="22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</row>
    <row r="636" spans="1:14" ht="14.25" customHeight="1" x14ac:dyDescent="0.25">
      <c r="A636" s="22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</row>
    <row r="637" spans="1:14" ht="14.25" customHeight="1" x14ac:dyDescent="0.25">
      <c r="A637" s="22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</row>
    <row r="638" spans="1:14" ht="14.25" customHeight="1" x14ac:dyDescent="0.25">
      <c r="A638" s="22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</row>
    <row r="639" spans="1:14" ht="14.25" customHeight="1" x14ac:dyDescent="0.25">
      <c r="A639" s="22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</row>
    <row r="640" spans="1:14" ht="14.25" customHeight="1" x14ac:dyDescent="0.25">
      <c r="A640" s="22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</row>
    <row r="641" spans="1:14" ht="14.25" customHeight="1" x14ac:dyDescent="0.25">
      <c r="A641" s="22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</row>
    <row r="642" spans="1:14" ht="14.25" customHeight="1" x14ac:dyDescent="0.25">
      <c r="A642" s="22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</row>
    <row r="643" spans="1:14" ht="14.25" customHeight="1" x14ac:dyDescent="0.25">
      <c r="A643" s="22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</row>
    <row r="644" spans="1:14" ht="14.25" customHeight="1" x14ac:dyDescent="0.25">
      <c r="A644" s="22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</row>
    <row r="645" spans="1:14" ht="14.25" customHeight="1" x14ac:dyDescent="0.25">
      <c r="A645" s="22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</row>
    <row r="646" spans="1:14" ht="14.25" customHeight="1" x14ac:dyDescent="0.25">
      <c r="A646" s="22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</row>
    <row r="647" spans="1:14" ht="14.25" customHeight="1" x14ac:dyDescent="0.25">
      <c r="A647" s="22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</row>
    <row r="648" spans="1:14" ht="14.25" customHeight="1" x14ac:dyDescent="0.25">
      <c r="A648" s="22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</row>
    <row r="649" spans="1:14" ht="14.25" customHeight="1" x14ac:dyDescent="0.25">
      <c r="A649" s="22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</row>
    <row r="650" spans="1:14" ht="14.25" customHeight="1" x14ac:dyDescent="0.25">
      <c r="A650" s="22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</row>
    <row r="651" spans="1:14" ht="14.25" customHeight="1" x14ac:dyDescent="0.25">
      <c r="A651" s="22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</row>
    <row r="652" spans="1:14" ht="14.25" customHeight="1" x14ac:dyDescent="0.25">
      <c r="A652" s="22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</row>
    <row r="653" spans="1:14" ht="14.25" customHeight="1" x14ac:dyDescent="0.25">
      <c r="A653" s="22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</row>
    <row r="654" spans="1:14" ht="14.25" customHeight="1" x14ac:dyDescent="0.25">
      <c r="A654" s="22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</row>
    <row r="655" spans="1:14" ht="14.25" customHeight="1" x14ac:dyDescent="0.25">
      <c r="A655" s="22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</row>
    <row r="656" spans="1:14" ht="14.25" customHeight="1" x14ac:dyDescent="0.25">
      <c r="A656" s="22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</row>
    <row r="657" spans="1:14" ht="14.25" customHeight="1" x14ac:dyDescent="0.25">
      <c r="A657" s="22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</row>
    <row r="658" spans="1:14" ht="14.25" customHeight="1" x14ac:dyDescent="0.25">
      <c r="A658" s="22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</row>
    <row r="659" spans="1:14" ht="14.25" customHeight="1" x14ac:dyDescent="0.25">
      <c r="A659" s="22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</row>
    <row r="660" spans="1:14" ht="14.25" customHeight="1" x14ac:dyDescent="0.25">
      <c r="A660" s="22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</row>
    <row r="661" spans="1:14" ht="14.25" customHeight="1" x14ac:dyDescent="0.25">
      <c r="A661" s="22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</row>
    <row r="662" spans="1:14" ht="14.25" customHeight="1" x14ac:dyDescent="0.25">
      <c r="A662" s="22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</row>
    <row r="663" spans="1:14" ht="14.25" customHeight="1" x14ac:dyDescent="0.25">
      <c r="A663" s="22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</row>
    <row r="664" spans="1:14" ht="14.25" customHeight="1" x14ac:dyDescent="0.25">
      <c r="A664" s="22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</row>
    <row r="665" spans="1:14" ht="14.25" customHeight="1" x14ac:dyDescent="0.25">
      <c r="A665" s="22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</row>
    <row r="666" spans="1:14" ht="14.25" customHeight="1" x14ac:dyDescent="0.25">
      <c r="A666" s="22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</row>
    <row r="667" spans="1:14" ht="14.25" customHeight="1" x14ac:dyDescent="0.25">
      <c r="A667" s="22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</row>
    <row r="668" spans="1:14" ht="14.25" customHeight="1" x14ac:dyDescent="0.25">
      <c r="A668" s="22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</row>
    <row r="669" spans="1:14" ht="14.25" customHeight="1" x14ac:dyDescent="0.25">
      <c r="A669" s="22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</row>
    <row r="670" spans="1:14" ht="14.25" customHeight="1" x14ac:dyDescent="0.25">
      <c r="A670" s="22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</row>
    <row r="671" spans="1:14" ht="14.25" customHeight="1" x14ac:dyDescent="0.25">
      <c r="A671" s="22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</row>
    <row r="672" spans="1:14" ht="14.25" customHeight="1" x14ac:dyDescent="0.25">
      <c r="A672" s="22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</row>
    <row r="673" spans="1:14" ht="14.25" customHeight="1" x14ac:dyDescent="0.25">
      <c r="A673" s="22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</row>
    <row r="674" spans="1:14" ht="14.25" customHeight="1" x14ac:dyDescent="0.25">
      <c r="A674" s="22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</row>
    <row r="675" spans="1:14" ht="14.25" customHeight="1" x14ac:dyDescent="0.25">
      <c r="A675" s="22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</row>
    <row r="676" spans="1:14" ht="14.25" customHeight="1" x14ac:dyDescent="0.25">
      <c r="A676" s="22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</row>
    <row r="677" spans="1:14" ht="14.25" customHeight="1" x14ac:dyDescent="0.25">
      <c r="A677" s="22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</row>
    <row r="678" spans="1:14" ht="14.25" customHeight="1" x14ac:dyDescent="0.25">
      <c r="A678" s="22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</row>
    <row r="679" spans="1:14" ht="14.25" customHeight="1" x14ac:dyDescent="0.25">
      <c r="A679" s="22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</row>
    <row r="680" spans="1:14" ht="14.25" customHeight="1" x14ac:dyDescent="0.25">
      <c r="A680" s="22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</row>
    <row r="681" spans="1:14" ht="14.25" customHeight="1" x14ac:dyDescent="0.25">
      <c r="A681" s="22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</row>
    <row r="682" spans="1:14" ht="14.25" customHeight="1" x14ac:dyDescent="0.25">
      <c r="A682" s="22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</row>
    <row r="683" spans="1:14" ht="14.25" customHeight="1" x14ac:dyDescent="0.25">
      <c r="A683" s="22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</row>
    <row r="684" spans="1:14" ht="14.25" customHeight="1" x14ac:dyDescent="0.25">
      <c r="A684" s="22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</row>
    <row r="685" spans="1:14" ht="14.25" customHeight="1" x14ac:dyDescent="0.25">
      <c r="A685" s="22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</row>
    <row r="686" spans="1:14" ht="14.25" customHeight="1" x14ac:dyDescent="0.25">
      <c r="A686" s="22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</row>
    <row r="687" spans="1:14" ht="14.25" customHeight="1" x14ac:dyDescent="0.25">
      <c r="A687" s="22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</row>
    <row r="688" spans="1:14" ht="14.25" customHeight="1" x14ac:dyDescent="0.25">
      <c r="A688" s="22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</row>
    <row r="689" spans="1:14" ht="14.25" customHeight="1" x14ac:dyDescent="0.25">
      <c r="A689" s="22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</row>
    <row r="690" spans="1:14" ht="14.25" customHeight="1" x14ac:dyDescent="0.25">
      <c r="A690" s="22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</row>
    <row r="691" spans="1:14" ht="14.25" customHeight="1" x14ac:dyDescent="0.25">
      <c r="A691" s="22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</row>
    <row r="692" spans="1:14" ht="14.25" customHeight="1" x14ac:dyDescent="0.25">
      <c r="A692" s="22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</row>
    <row r="693" spans="1:14" ht="14.25" customHeight="1" x14ac:dyDescent="0.25">
      <c r="A693" s="22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</row>
    <row r="694" spans="1:14" ht="14.25" customHeight="1" x14ac:dyDescent="0.25">
      <c r="A694" s="22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</row>
    <row r="695" spans="1:14" ht="14.25" customHeight="1" x14ac:dyDescent="0.25">
      <c r="A695" s="22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</row>
    <row r="696" spans="1:14" ht="14.25" customHeight="1" x14ac:dyDescent="0.25">
      <c r="A696" s="22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</row>
    <row r="697" spans="1:14" ht="14.25" customHeight="1" x14ac:dyDescent="0.25">
      <c r="A697" s="22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</row>
    <row r="698" spans="1:14" ht="14.25" customHeight="1" x14ac:dyDescent="0.25">
      <c r="A698" s="22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</row>
    <row r="699" spans="1:14" ht="14.25" customHeight="1" x14ac:dyDescent="0.25">
      <c r="A699" s="22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</row>
    <row r="700" spans="1:14" ht="14.25" customHeight="1" x14ac:dyDescent="0.25">
      <c r="A700" s="22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</row>
    <row r="701" spans="1:14" ht="14.25" customHeight="1" x14ac:dyDescent="0.25">
      <c r="A701" s="22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</row>
    <row r="702" spans="1:14" ht="14.25" customHeight="1" x14ac:dyDescent="0.25">
      <c r="A702" s="22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</row>
    <row r="703" spans="1:14" ht="14.25" customHeight="1" x14ac:dyDescent="0.25">
      <c r="A703" s="22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</row>
    <row r="704" spans="1:14" ht="14.25" customHeight="1" x14ac:dyDescent="0.25">
      <c r="A704" s="22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</row>
    <row r="705" spans="1:14" ht="14.25" customHeight="1" x14ac:dyDescent="0.25">
      <c r="A705" s="22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</row>
    <row r="706" spans="1:14" ht="14.25" customHeight="1" x14ac:dyDescent="0.25">
      <c r="A706" s="22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</row>
    <row r="707" spans="1:14" ht="14.25" customHeight="1" x14ac:dyDescent="0.25">
      <c r="A707" s="22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</row>
    <row r="708" spans="1:14" ht="14.25" customHeight="1" x14ac:dyDescent="0.25">
      <c r="A708" s="22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</row>
    <row r="709" spans="1:14" ht="14.25" customHeight="1" x14ac:dyDescent="0.25">
      <c r="A709" s="22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</row>
    <row r="710" spans="1:14" ht="14.25" customHeight="1" x14ac:dyDescent="0.25">
      <c r="A710" s="22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</row>
    <row r="711" spans="1:14" ht="14.25" customHeight="1" x14ac:dyDescent="0.25">
      <c r="A711" s="22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</row>
    <row r="712" spans="1:14" ht="14.25" customHeight="1" x14ac:dyDescent="0.25">
      <c r="A712" s="22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</row>
    <row r="713" spans="1:14" ht="14.25" customHeight="1" x14ac:dyDescent="0.25">
      <c r="A713" s="22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</row>
    <row r="714" spans="1:14" ht="14.25" customHeight="1" x14ac:dyDescent="0.25">
      <c r="A714" s="22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</row>
    <row r="715" spans="1:14" ht="14.25" customHeight="1" x14ac:dyDescent="0.25">
      <c r="A715" s="22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</row>
    <row r="716" spans="1:14" ht="14.25" customHeight="1" x14ac:dyDescent="0.25">
      <c r="A716" s="22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</row>
    <row r="717" spans="1:14" ht="14.25" customHeight="1" x14ac:dyDescent="0.25">
      <c r="A717" s="22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</row>
    <row r="718" spans="1:14" ht="14.25" customHeight="1" x14ac:dyDescent="0.25">
      <c r="A718" s="22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</row>
    <row r="719" spans="1:14" ht="14.25" customHeight="1" x14ac:dyDescent="0.25">
      <c r="A719" s="22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</row>
    <row r="720" spans="1:14" ht="14.25" customHeight="1" x14ac:dyDescent="0.25">
      <c r="A720" s="22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</row>
    <row r="721" spans="1:14" ht="14.25" customHeight="1" x14ac:dyDescent="0.25">
      <c r="A721" s="22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</row>
    <row r="722" spans="1:14" ht="14.25" customHeight="1" x14ac:dyDescent="0.25">
      <c r="A722" s="22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</row>
    <row r="723" spans="1:14" ht="14.25" customHeight="1" x14ac:dyDescent="0.25">
      <c r="A723" s="22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</row>
    <row r="724" spans="1:14" ht="14.25" customHeight="1" x14ac:dyDescent="0.25">
      <c r="A724" s="22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</row>
    <row r="725" spans="1:14" ht="14.25" customHeight="1" x14ac:dyDescent="0.25">
      <c r="A725" s="22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</row>
    <row r="726" spans="1:14" ht="14.25" customHeight="1" x14ac:dyDescent="0.25">
      <c r="A726" s="22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</row>
    <row r="727" spans="1:14" ht="14.25" customHeight="1" x14ac:dyDescent="0.25">
      <c r="A727" s="22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</row>
    <row r="728" spans="1:14" ht="14.25" customHeight="1" x14ac:dyDescent="0.25">
      <c r="A728" s="22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</row>
    <row r="729" spans="1:14" ht="14.25" customHeight="1" x14ac:dyDescent="0.25">
      <c r="A729" s="22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</row>
    <row r="730" spans="1:14" ht="14.25" customHeight="1" x14ac:dyDescent="0.25">
      <c r="A730" s="22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</row>
    <row r="731" spans="1:14" ht="14.25" customHeight="1" x14ac:dyDescent="0.25">
      <c r="A731" s="22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</row>
    <row r="732" spans="1:14" ht="14.25" customHeight="1" x14ac:dyDescent="0.25">
      <c r="A732" s="22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</row>
    <row r="733" spans="1:14" ht="14.25" customHeight="1" x14ac:dyDescent="0.25">
      <c r="A733" s="22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</row>
    <row r="734" spans="1:14" ht="14.25" customHeight="1" x14ac:dyDescent="0.25">
      <c r="A734" s="22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</row>
    <row r="735" spans="1:14" ht="14.25" customHeight="1" x14ac:dyDescent="0.25">
      <c r="A735" s="22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</row>
    <row r="736" spans="1:14" ht="14.25" customHeight="1" x14ac:dyDescent="0.25">
      <c r="A736" s="22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</row>
    <row r="737" spans="1:14" ht="14.25" customHeight="1" x14ac:dyDescent="0.25">
      <c r="A737" s="22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</row>
    <row r="738" spans="1:14" ht="14.25" customHeight="1" x14ac:dyDescent="0.25">
      <c r="A738" s="22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</row>
    <row r="739" spans="1:14" ht="14.25" customHeight="1" x14ac:dyDescent="0.25">
      <c r="A739" s="22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</row>
    <row r="740" spans="1:14" ht="14.25" customHeight="1" x14ac:dyDescent="0.25">
      <c r="A740" s="22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</row>
    <row r="741" spans="1:14" ht="14.25" customHeight="1" x14ac:dyDescent="0.25">
      <c r="A741" s="22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</row>
    <row r="742" spans="1:14" ht="14.25" customHeight="1" x14ac:dyDescent="0.25">
      <c r="A742" s="22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</row>
    <row r="743" spans="1:14" ht="14.25" customHeight="1" x14ac:dyDescent="0.25">
      <c r="A743" s="22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</row>
    <row r="744" spans="1:14" ht="14.25" customHeight="1" x14ac:dyDescent="0.25">
      <c r="A744" s="22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</row>
    <row r="745" spans="1:14" ht="14.25" customHeight="1" x14ac:dyDescent="0.25">
      <c r="A745" s="22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</row>
    <row r="746" spans="1:14" ht="14.25" customHeight="1" x14ac:dyDescent="0.25">
      <c r="A746" s="22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</row>
    <row r="747" spans="1:14" ht="14.25" customHeight="1" x14ac:dyDescent="0.25">
      <c r="A747" s="22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</row>
    <row r="748" spans="1:14" ht="14.25" customHeight="1" x14ac:dyDescent="0.25">
      <c r="A748" s="22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</row>
    <row r="749" spans="1:14" ht="14.25" customHeight="1" x14ac:dyDescent="0.25">
      <c r="A749" s="22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</row>
    <row r="750" spans="1:14" ht="14.25" customHeight="1" x14ac:dyDescent="0.25">
      <c r="A750" s="22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</row>
    <row r="751" spans="1:14" ht="14.25" customHeight="1" x14ac:dyDescent="0.25">
      <c r="A751" s="22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</row>
    <row r="752" spans="1:14" ht="14.25" customHeight="1" x14ac:dyDescent="0.25">
      <c r="A752" s="22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</row>
    <row r="753" spans="1:14" ht="14.25" customHeight="1" x14ac:dyDescent="0.25">
      <c r="A753" s="22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</row>
    <row r="754" spans="1:14" ht="14.25" customHeight="1" x14ac:dyDescent="0.25">
      <c r="A754" s="22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</row>
    <row r="755" spans="1:14" ht="14.25" customHeight="1" x14ac:dyDescent="0.25">
      <c r="A755" s="22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</row>
    <row r="756" spans="1:14" ht="14.25" customHeight="1" x14ac:dyDescent="0.25">
      <c r="A756" s="22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</row>
    <row r="757" spans="1:14" ht="14.25" customHeight="1" x14ac:dyDescent="0.25">
      <c r="A757" s="22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</row>
    <row r="758" spans="1:14" ht="14.25" customHeight="1" x14ac:dyDescent="0.25">
      <c r="A758" s="22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</row>
    <row r="759" spans="1:14" ht="14.25" customHeight="1" x14ac:dyDescent="0.25">
      <c r="A759" s="22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</row>
    <row r="760" spans="1:14" ht="14.25" customHeight="1" x14ac:dyDescent="0.25">
      <c r="A760" s="22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</row>
    <row r="761" spans="1:14" ht="14.25" customHeight="1" x14ac:dyDescent="0.25">
      <c r="A761" s="22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</row>
    <row r="762" spans="1:14" ht="14.25" customHeight="1" x14ac:dyDescent="0.25">
      <c r="A762" s="22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</row>
    <row r="763" spans="1:14" ht="14.25" customHeight="1" x14ac:dyDescent="0.25">
      <c r="A763" s="22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</row>
    <row r="764" spans="1:14" ht="14.25" customHeight="1" x14ac:dyDescent="0.25">
      <c r="A764" s="22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</row>
    <row r="765" spans="1:14" ht="14.25" customHeight="1" x14ac:dyDescent="0.25">
      <c r="A765" s="22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</row>
    <row r="766" spans="1:14" ht="14.25" customHeight="1" x14ac:dyDescent="0.25">
      <c r="A766" s="22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</row>
    <row r="767" spans="1:14" ht="14.25" customHeight="1" x14ac:dyDescent="0.25">
      <c r="A767" s="22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</row>
    <row r="768" spans="1:14" ht="14.25" customHeight="1" x14ac:dyDescent="0.25">
      <c r="A768" s="22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</row>
    <row r="769" spans="1:14" ht="14.25" customHeight="1" x14ac:dyDescent="0.25">
      <c r="A769" s="22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</row>
    <row r="770" spans="1:14" ht="14.25" customHeight="1" x14ac:dyDescent="0.25">
      <c r="A770" s="22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</row>
    <row r="771" spans="1:14" ht="14.25" customHeight="1" x14ac:dyDescent="0.25">
      <c r="A771" s="22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</row>
    <row r="772" spans="1:14" ht="14.25" customHeight="1" x14ac:dyDescent="0.25">
      <c r="A772" s="22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</row>
    <row r="773" spans="1:14" ht="14.25" customHeight="1" x14ac:dyDescent="0.25">
      <c r="A773" s="22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</row>
    <row r="774" spans="1:14" ht="14.25" customHeight="1" x14ac:dyDescent="0.25">
      <c r="A774" s="22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</row>
    <row r="775" spans="1:14" ht="14.25" customHeight="1" x14ac:dyDescent="0.25">
      <c r="A775" s="22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</row>
    <row r="776" spans="1:14" ht="14.25" customHeight="1" x14ac:dyDescent="0.25">
      <c r="A776" s="22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</row>
    <row r="777" spans="1:14" ht="14.25" customHeight="1" x14ac:dyDescent="0.25">
      <c r="A777" s="22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</row>
    <row r="778" spans="1:14" ht="14.25" customHeight="1" x14ac:dyDescent="0.25">
      <c r="A778" s="22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</row>
    <row r="779" spans="1:14" ht="14.25" customHeight="1" x14ac:dyDescent="0.25">
      <c r="A779" s="22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</row>
    <row r="780" spans="1:14" ht="14.25" customHeight="1" x14ac:dyDescent="0.25">
      <c r="A780" s="22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</row>
    <row r="781" spans="1:14" ht="14.25" customHeight="1" x14ac:dyDescent="0.25">
      <c r="A781" s="22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</row>
    <row r="782" spans="1:14" ht="14.25" customHeight="1" x14ac:dyDescent="0.25">
      <c r="A782" s="22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</row>
    <row r="783" spans="1:14" ht="14.25" customHeight="1" x14ac:dyDescent="0.25">
      <c r="A783" s="22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</row>
    <row r="784" spans="1:14" ht="14.25" customHeight="1" x14ac:dyDescent="0.25">
      <c r="A784" s="22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</row>
    <row r="785" spans="1:14" ht="14.25" customHeight="1" x14ac:dyDescent="0.25">
      <c r="A785" s="22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</row>
    <row r="786" spans="1:14" ht="14.25" customHeight="1" x14ac:dyDescent="0.25">
      <c r="A786" s="22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</row>
    <row r="787" spans="1:14" ht="14.25" customHeight="1" x14ac:dyDescent="0.25">
      <c r="A787" s="22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</row>
    <row r="788" spans="1:14" ht="14.25" customHeight="1" x14ac:dyDescent="0.25">
      <c r="A788" s="22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</row>
    <row r="789" spans="1:14" ht="14.25" customHeight="1" x14ac:dyDescent="0.25">
      <c r="A789" s="22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</row>
    <row r="790" spans="1:14" ht="14.25" customHeight="1" x14ac:dyDescent="0.25">
      <c r="A790" s="22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</row>
    <row r="791" spans="1:14" ht="14.25" customHeight="1" x14ac:dyDescent="0.25">
      <c r="A791" s="22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</row>
    <row r="792" spans="1:14" ht="14.25" customHeight="1" x14ac:dyDescent="0.25">
      <c r="A792" s="22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</row>
    <row r="793" spans="1:14" ht="14.25" customHeight="1" x14ac:dyDescent="0.25">
      <c r="A793" s="22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</row>
    <row r="794" spans="1:14" ht="14.25" customHeight="1" x14ac:dyDescent="0.25">
      <c r="A794" s="22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</row>
    <row r="795" spans="1:14" ht="14.25" customHeight="1" x14ac:dyDescent="0.25">
      <c r="A795" s="22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</row>
    <row r="796" spans="1:14" ht="14.25" customHeight="1" x14ac:dyDescent="0.25">
      <c r="A796" s="22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</row>
    <row r="797" spans="1:14" ht="14.25" customHeight="1" x14ac:dyDescent="0.25">
      <c r="A797" s="22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</row>
    <row r="798" spans="1:14" ht="14.25" customHeight="1" x14ac:dyDescent="0.25">
      <c r="A798" s="22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</row>
    <row r="799" spans="1:14" ht="14.25" customHeight="1" x14ac:dyDescent="0.25">
      <c r="A799" s="22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</row>
    <row r="800" spans="1:14" ht="14.25" customHeight="1" x14ac:dyDescent="0.25">
      <c r="A800" s="22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</row>
    <row r="801" spans="1:14" ht="14.25" customHeight="1" x14ac:dyDescent="0.25">
      <c r="A801" s="22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</row>
    <row r="802" spans="1:14" ht="14.25" customHeight="1" x14ac:dyDescent="0.25">
      <c r="A802" s="22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</row>
    <row r="803" spans="1:14" ht="14.25" customHeight="1" x14ac:dyDescent="0.25">
      <c r="A803" s="22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</row>
    <row r="804" spans="1:14" ht="14.25" customHeight="1" x14ac:dyDescent="0.25">
      <c r="A804" s="22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</row>
    <row r="805" spans="1:14" ht="14.25" customHeight="1" x14ac:dyDescent="0.25">
      <c r="A805" s="22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</row>
    <row r="806" spans="1:14" ht="14.25" customHeight="1" x14ac:dyDescent="0.25">
      <c r="A806" s="22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</row>
    <row r="807" spans="1:14" ht="14.25" customHeight="1" x14ac:dyDescent="0.25">
      <c r="A807" s="22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</row>
    <row r="808" spans="1:14" ht="14.25" customHeight="1" x14ac:dyDescent="0.25">
      <c r="A808" s="22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</row>
    <row r="809" spans="1:14" ht="14.25" customHeight="1" x14ac:dyDescent="0.25">
      <c r="A809" s="22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</row>
    <row r="810" spans="1:14" ht="14.25" customHeight="1" x14ac:dyDescent="0.25">
      <c r="A810" s="22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</row>
    <row r="811" spans="1:14" ht="14.25" customHeight="1" x14ac:dyDescent="0.25">
      <c r="A811" s="22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</row>
    <row r="812" spans="1:14" ht="14.25" customHeight="1" x14ac:dyDescent="0.25">
      <c r="A812" s="22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</row>
    <row r="813" spans="1:14" ht="14.25" customHeight="1" x14ac:dyDescent="0.25">
      <c r="A813" s="22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</row>
    <row r="814" spans="1:14" ht="14.25" customHeight="1" x14ac:dyDescent="0.25">
      <c r="A814" s="22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</row>
    <row r="815" spans="1:14" ht="14.25" customHeight="1" x14ac:dyDescent="0.25">
      <c r="A815" s="22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</row>
    <row r="816" spans="1:14" ht="14.25" customHeight="1" x14ac:dyDescent="0.25">
      <c r="A816" s="22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</row>
    <row r="817" spans="1:14" ht="14.25" customHeight="1" x14ac:dyDescent="0.25">
      <c r="A817" s="22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</row>
    <row r="818" spans="1:14" ht="14.25" customHeight="1" x14ac:dyDescent="0.25">
      <c r="A818" s="22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</row>
    <row r="819" spans="1:14" ht="14.25" customHeight="1" x14ac:dyDescent="0.25">
      <c r="A819" s="22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</row>
    <row r="820" spans="1:14" ht="14.25" customHeight="1" x14ac:dyDescent="0.25">
      <c r="A820" s="22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</row>
    <row r="821" spans="1:14" ht="14.25" customHeight="1" x14ac:dyDescent="0.25">
      <c r="A821" s="22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</row>
    <row r="822" spans="1:14" ht="14.25" customHeight="1" x14ac:dyDescent="0.25">
      <c r="A822" s="22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</row>
    <row r="823" spans="1:14" ht="14.25" customHeight="1" x14ac:dyDescent="0.25">
      <c r="A823" s="22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</row>
    <row r="824" spans="1:14" ht="14.25" customHeight="1" x14ac:dyDescent="0.25">
      <c r="A824" s="22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</row>
    <row r="825" spans="1:14" ht="14.25" customHeight="1" x14ac:dyDescent="0.25">
      <c r="A825" s="22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</row>
    <row r="826" spans="1:14" ht="14.25" customHeight="1" x14ac:dyDescent="0.25">
      <c r="A826" s="22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</row>
    <row r="827" spans="1:14" ht="14.25" customHeight="1" x14ac:dyDescent="0.25">
      <c r="A827" s="22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</row>
    <row r="828" spans="1:14" ht="14.25" customHeight="1" x14ac:dyDescent="0.25">
      <c r="A828" s="22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</row>
    <row r="829" spans="1:14" ht="14.25" customHeight="1" x14ac:dyDescent="0.25">
      <c r="A829" s="22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</row>
    <row r="830" spans="1:14" ht="14.25" customHeight="1" x14ac:dyDescent="0.25">
      <c r="A830" s="22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</row>
    <row r="831" spans="1:14" ht="14.25" customHeight="1" x14ac:dyDescent="0.25">
      <c r="A831" s="22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</row>
    <row r="832" spans="1:14" ht="14.25" customHeight="1" x14ac:dyDescent="0.25">
      <c r="A832" s="22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</row>
    <row r="833" spans="1:14" ht="14.25" customHeight="1" x14ac:dyDescent="0.25">
      <c r="A833" s="22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</row>
    <row r="834" spans="1:14" ht="14.25" customHeight="1" x14ac:dyDescent="0.25">
      <c r="A834" s="22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</row>
    <row r="835" spans="1:14" ht="14.25" customHeight="1" x14ac:dyDescent="0.25">
      <c r="A835" s="22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</row>
    <row r="836" spans="1:14" ht="14.25" customHeight="1" x14ac:dyDescent="0.25">
      <c r="A836" s="22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</row>
    <row r="837" spans="1:14" ht="14.25" customHeight="1" x14ac:dyDescent="0.25">
      <c r="A837" s="22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</row>
    <row r="838" spans="1:14" ht="14.25" customHeight="1" x14ac:dyDescent="0.25">
      <c r="A838" s="22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</row>
    <row r="839" spans="1:14" ht="14.25" customHeight="1" x14ac:dyDescent="0.25">
      <c r="A839" s="22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</row>
    <row r="840" spans="1:14" ht="14.25" customHeight="1" x14ac:dyDescent="0.25">
      <c r="A840" s="22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</row>
    <row r="841" spans="1:14" ht="14.25" customHeight="1" x14ac:dyDescent="0.25">
      <c r="A841" s="22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</row>
    <row r="842" spans="1:14" ht="14.25" customHeight="1" x14ac:dyDescent="0.25">
      <c r="A842" s="22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</row>
    <row r="843" spans="1:14" ht="14.25" customHeight="1" x14ac:dyDescent="0.25">
      <c r="A843" s="22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</row>
    <row r="844" spans="1:14" ht="14.25" customHeight="1" x14ac:dyDescent="0.25">
      <c r="A844" s="22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</row>
    <row r="845" spans="1:14" ht="14.25" customHeight="1" x14ac:dyDescent="0.25">
      <c r="A845" s="22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</row>
    <row r="846" spans="1:14" ht="14.25" customHeight="1" x14ac:dyDescent="0.25">
      <c r="A846" s="22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</row>
    <row r="847" spans="1:14" ht="14.25" customHeight="1" x14ac:dyDescent="0.25">
      <c r="A847" s="22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</row>
    <row r="848" spans="1:14" ht="14.25" customHeight="1" x14ac:dyDescent="0.25">
      <c r="A848" s="22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</row>
    <row r="849" spans="1:14" ht="14.25" customHeight="1" x14ac:dyDescent="0.25">
      <c r="A849" s="22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</row>
    <row r="850" spans="1:14" ht="14.25" customHeight="1" x14ac:dyDescent="0.25">
      <c r="A850" s="22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</row>
    <row r="851" spans="1:14" ht="14.25" customHeight="1" x14ac:dyDescent="0.25">
      <c r="A851" s="22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</row>
    <row r="852" spans="1:14" ht="14.25" customHeight="1" x14ac:dyDescent="0.25">
      <c r="A852" s="22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</row>
    <row r="853" spans="1:14" ht="14.25" customHeight="1" x14ac:dyDescent="0.25">
      <c r="A853" s="22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</row>
    <row r="854" spans="1:14" ht="14.25" customHeight="1" x14ac:dyDescent="0.25">
      <c r="A854" s="22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</row>
    <row r="855" spans="1:14" ht="14.25" customHeight="1" x14ac:dyDescent="0.25">
      <c r="A855" s="22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</row>
    <row r="856" spans="1:14" ht="14.25" customHeight="1" x14ac:dyDescent="0.25">
      <c r="A856" s="22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</row>
    <row r="857" spans="1:14" ht="14.25" customHeight="1" x14ac:dyDescent="0.25">
      <c r="A857" s="22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</row>
    <row r="858" spans="1:14" ht="14.25" customHeight="1" x14ac:dyDescent="0.25">
      <c r="A858" s="22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</row>
    <row r="859" spans="1:14" ht="14.25" customHeight="1" x14ac:dyDescent="0.25">
      <c r="A859" s="22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</row>
    <row r="860" spans="1:14" ht="14.25" customHeight="1" x14ac:dyDescent="0.25">
      <c r="A860" s="22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</row>
    <row r="861" spans="1:14" ht="14.25" customHeight="1" x14ac:dyDescent="0.25">
      <c r="A861" s="22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</row>
    <row r="862" spans="1:14" ht="14.25" customHeight="1" x14ac:dyDescent="0.25">
      <c r="A862" s="22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</row>
    <row r="863" spans="1:14" ht="14.25" customHeight="1" x14ac:dyDescent="0.25">
      <c r="A863" s="22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</row>
    <row r="864" spans="1:14" ht="14.25" customHeight="1" x14ac:dyDescent="0.25">
      <c r="A864" s="22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</row>
    <row r="865" spans="1:14" ht="14.25" customHeight="1" x14ac:dyDescent="0.25">
      <c r="A865" s="22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</row>
    <row r="866" spans="1:14" ht="14.25" customHeight="1" x14ac:dyDescent="0.25">
      <c r="A866" s="22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</row>
    <row r="867" spans="1:14" ht="14.25" customHeight="1" x14ac:dyDescent="0.25">
      <c r="A867" s="22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</row>
    <row r="868" spans="1:14" ht="14.25" customHeight="1" x14ac:dyDescent="0.25">
      <c r="A868" s="22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</row>
    <row r="869" spans="1:14" ht="14.25" customHeight="1" x14ac:dyDescent="0.25">
      <c r="A869" s="22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</row>
    <row r="870" spans="1:14" ht="14.25" customHeight="1" x14ac:dyDescent="0.25">
      <c r="A870" s="22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</row>
    <row r="871" spans="1:14" ht="14.25" customHeight="1" x14ac:dyDescent="0.25">
      <c r="A871" s="22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</row>
    <row r="872" spans="1:14" ht="14.25" customHeight="1" x14ac:dyDescent="0.25">
      <c r="A872" s="22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</row>
    <row r="873" spans="1:14" ht="14.25" customHeight="1" x14ac:dyDescent="0.25">
      <c r="A873" s="22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</row>
    <row r="874" spans="1:14" ht="14.25" customHeight="1" x14ac:dyDescent="0.25">
      <c r="A874" s="22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</row>
    <row r="875" spans="1:14" ht="14.25" customHeight="1" x14ac:dyDescent="0.25">
      <c r="A875" s="22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</row>
    <row r="876" spans="1:14" ht="14.25" customHeight="1" x14ac:dyDescent="0.25">
      <c r="A876" s="22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</row>
    <row r="877" spans="1:14" ht="14.25" customHeight="1" x14ac:dyDescent="0.25">
      <c r="A877" s="22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</row>
    <row r="878" spans="1:14" ht="14.25" customHeight="1" x14ac:dyDescent="0.25">
      <c r="A878" s="22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</row>
    <row r="879" spans="1:14" ht="14.25" customHeight="1" x14ac:dyDescent="0.25">
      <c r="A879" s="22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</row>
    <row r="880" spans="1:14" ht="14.25" customHeight="1" x14ac:dyDescent="0.25">
      <c r="A880" s="22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</row>
    <row r="881" spans="1:14" ht="14.25" customHeight="1" x14ac:dyDescent="0.25">
      <c r="A881" s="22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</row>
    <row r="882" spans="1:14" ht="14.25" customHeight="1" x14ac:dyDescent="0.25">
      <c r="A882" s="22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</row>
    <row r="883" spans="1:14" ht="14.25" customHeight="1" x14ac:dyDescent="0.25">
      <c r="A883" s="22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</row>
    <row r="884" spans="1:14" ht="14.25" customHeight="1" x14ac:dyDescent="0.25">
      <c r="A884" s="22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</row>
    <row r="885" spans="1:14" ht="14.25" customHeight="1" x14ac:dyDescent="0.25">
      <c r="A885" s="22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</row>
    <row r="886" spans="1:14" ht="14.25" customHeight="1" x14ac:dyDescent="0.25">
      <c r="A886" s="22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</row>
    <row r="887" spans="1:14" ht="14.25" customHeight="1" x14ac:dyDescent="0.25">
      <c r="A887" s="22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</row>
    <row r="888" spans="1:14" ht="14.25" customHeight="1" x14ac:dyDescent="0.25">
      <c r="A888" s="22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</row>
    <row r="889" spans="1:14" ht="14.25" customHeight="1" x14ac:dyDescent="0.25">
      <c r="A889" s="22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</row>
    <row r="890" spans="1:14" ht="14.25" customHeight="1" x14ac:dyDescent="0.25">
      <c r="A890" s="22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</row>
    <row r="891" spans="1:14" ht="14.25" customHeight="1" x14ac:dyDescent="0.25">
      <c r="A891" s="22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</row>
    <row r="892" spans="1:14" ht="14.25" customHeight="1" x14ac:dyDescent="0.25">
      <c r="A892" s="22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</row>
    <row r="893" spans="1:14" ht="14.25" customHeight="1" x14ac:dyDescent="0.25">
      <c r="A893" s="22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</row>
    <row r="894" spans="1:14" ht="14.25" customHeight="1" x14ac:dyDescent="0.25">
      <c r="A894" s="22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</row>
    <row r="895" spans="1:14" ht="14.25" customHeight="1" x14ac:dyDescent="0.25">
      <c r="A895" s="22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</row>
    <row r="896" spans="1:14" ht="14.25" customHeight="1" x14ac:dyDescent="0.25">
      <c r="A896" s="22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</row>
    <row r="897" spans="1:14" ht="14.25" customHeight="1" x14ac:dyDescent="0.25">
      <c r="A897" s="22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</row>
    <row r="898" spans="1:14" ht="14.25" customHeight="1" x14ac:dyDescent="0.25">
      <c r="A898" s="22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</row>
    <row r="899" spans="1:14" ht="14.25" customHeight="1" x14ac:dyDescent="0.25">
      <c r="A899" s="22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</row>
    <row r="900" spans="1:14" ht="14.25" customHeight="1" x14ac:dyDescent="0.25">
      <c r="A900" s="22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</row>
    <row r="901" spans="1:14" ht="14.25" customHeight="1" x14ac:dyDescent="0.25">
      <c r="A901" s="22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</row>
    <row r="902" spans="1:14" ht="14.25" customHeight="1" x14ac:dyDescent="0.25">
      <c r="A902" s="22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</row>
    <row r="903" spans="1:14" ht="14.25" customHeight="1" x14ac:dyDescent="0.25">
      <c r="A903" s="22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</row>
    <row r="904" spans="1:14" ht="14.25" customHeight="1" x14ac:dyDescent="0.25">
      <c r="A904" s="22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</row>
    <row r="905" spans="1:14" ht="14.25" customHeight="1" x14ac:dyDescent="0.25">
      <c r="A905" s="22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</row>
    <row r="906" spans="1:14" ht="14.25" customHeight="1" x14ac:dyDescent="0.25">
      <c r="A906" s="22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</row>
    <row r="907" spans="1:14" ht="14.25" customHeight="1" x14ac:dyDescent="0.25">
      <c r="A907" s="22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</row>
    <row r="908" spans="1:14" ht="14.25" customHeight="1" x14ac:dyDescent="0.25">
      <c r="A908" s="22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</row>
    <row r="909" spans="1:14" ht="14.25" customHeight="1" x14ac:dyDescent="0.25">
      <c r="A909" s="22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</row>
    <row r="910" spans="1:14" ht="14.25" customHeight="1" x14ac:dyDescent="0.25">
      <c r="A910" s="22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</row>
    <row r="911" spans="1:14" ht="14.25" customHeight="1" x14ac:dyDescent="0.25">
      <c r="A911" s="22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</row>
    <row r="912" spans="1:14" ht="14.25" customHeight="1" x14ac:dyDescent="0.25">
      <c r="A912" s="22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</row>
    <row r="913" spans="1:14" ht="14.25" customHeight="1" x14ac:dyDescent="0.25">
      <c r="A913" s="22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</row>
    <row r="914" spans="1:14" ht="14.25" customHeight="1" x14ac:dyDescent="0.25">
      <c r="A914" s="22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</row>
    <row r="915" spans="1:14" ht="14.25" customHeight="1" x14ac:dyDescent="0.25">
      <c r="A915" s="22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</row>
    <row r="916" spans="1:14" ht="14.25" customHeight="1" x14ac:dyDescent="0.25">
      <c r="A916" s="22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</row>
    <row r="917" spans="1:14" ht="14.25" customHeight="1" x14ac:dyDescent="0.25">
      <c r="A917" s="22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</row>
    <row r="918" spans="1:14" ht="14.25" customHeight="1" x14ac:dyDescent="0.25">
      <c r="A918" s="22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</row>
    <row r="919" spans="1:14" ht="14.25" customHeight="1" x14ac:dyDescent="0.25">
      <c r="A919" s="22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</row>
    <row r="920" spans="1:14" ht="14.25" customHeight="1" x14ac:dyDescent="0.25">
      <c r="A920" s="22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</row>
    <row r="921" spans="1:14" ht="14.25" customHeight="1" x14ac:dyDescent="0.25">
      <c r="A921" s="22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</row>
    <row r="922" spans="1:14" ht="14.25" customHeight="1" x14ac:dyDescent="0.25">
      <c r="A922" s="22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</row>
    <row r="923" spans="1:14" ht="14.25" customHeight="1" x14ac:dyDescent="0.25">
      <c r="A923" s="22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</row>
    <row r="924" spans="1:14" ht="14.25" customHeight="1" x14ac:dyDescent="0.25">
      <c r="A924" s="22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</row>
    <row r="925" spans="1:14" ht="14.25" customHeight="1" x14ac:dyDescent="0.25">
      <c r="A925" s="22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</row>
    <row r="926" spans="1:14" ht="14.25" customHeight="1" x14ac:dyDescent="0.25">
      <c r="A926" s="22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</row>
    <row r="927" spans="1:14" ht="14.25" customHeight="1" x14ac:dyDescent="0.25">
      <c r="A927" s="22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</row>
    <row r="928" spans="1:14" ht="14.25" customHeight="1" x14ac:dyDescent="0.25">
      <c r="A928" s="22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</row>
    <row r="929" spans="1:14" ht="14.25" customHeight="1" x14ac:dyDescent="0.25">
      <c r="A929" s="22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</row>
    <row r="930" spans="1:14" ht="14.25" customHeight="1" x14ac:dyDescent="0.25">
      <c r="A930" s="22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</row>
    <row r="931" spans="1:14" ht="14.25" customHeight="1" x14ac:dyDescent="0.25">
      <c r="A931" s="22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</row>
    <row r="932" spans="1:14" ht="14.25" customHeight="1" x14ac:dyDescent="0.25">
      <c r="A932" s="22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</row>
    <row r="933" spans="1:14" ht="14.25" customHeight="1" x14ac:dyDescent="0.25">
      <c r="A933" s="22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</row>
    <row r="934" spans="1:14" ht="14.25" customHeight="1" x14ac:dyDescent="0.25">
      <c r="A934" s="22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</row>
    <row r="935" spans="1:14" ht="14.25" customHeight="1" x14ac:dyDescent="0.25">
      <c r="A935" s="22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</row>
    <row r="936" spans="1:14" ht="14.25" customHeight="1" x14ac:dyDescent="0.25">
      <c r="A936" s="22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</row>
    <row r="937" spans="1:14" ht="14.25" customHeight="1" x14ac:dyDescent="0.25">
      <c r="A937" s="22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</row>
    <row r="938" spans="1:14" ht="14.25" customHeight="1" x14ac:dyDescent="0.25">
      <c r="A938" s="22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</row>
    <row r="939" spans="1:14" ht="14.25" customHeight="1" x14ac:dyDescent="0.25">
      <c r="A939" s="22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</row>
    <row r="940" spans="1:14" ht="14.25" customHeight="1" x14ac:dyDescent="0.25">
      <c r="A940" s="22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</row>
    <row r="941" spans="1:14" ht="14.25" customHeight="1" x14ac:dyDescent="0.25">
      <c r="A941" s="22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</row>
    <row r="942" spans="1:14" ht="14.25" customHeight="1" x14ac:dyDescent="0.25">
      <c r="A942" s="22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</row>
    <row r="943" spans="1:14" ht="14.25" customHeight="1" x14ac:dyDescent="0.25">
      <c r="A943" s="22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</row>
    <row r="944" spans="1:14" ht="14.25" customHeight="1" x14ac:dyDescent="0.25">
      <c r="A944" s="22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</row>
    <row r="945" spans="1:14" ht="14.25" customHeight="1" x14ac:dyDescent="0.25">
      <c r="A945" s="22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</row>
    <row r="946" spans="1:14" ht="14.25" customHeight="1" x14ac:dyDescent="0.25">
      <c r="A946" s="22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</row>
    <row r="947" spans="1:14" ht="14.25" customHeight="1" x14ac:dyDescent="0.25">
      <c r="A947" s="22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</row>
    <row r="948" spans="1:14" ht="14.25" customHeight="1" x14ac:dyDescent="0.25">
      <c r="A948" s="22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</row>
    <row r="949" spans="1:14" ht="14.25" customHeight="1" x14ac:dyDescent="0.25">
      <c r="A949" s="22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</row>
    <row r="950" spans="1:14" ht="14.25" customHeight="1" x14ac:dyDescent="0.25">
      <c r="A950" s="22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</row>
    <row r="951" spans="1:14" ht="14.25" customHeight="1" x14ac:dyDescent="0.25">
      <c r="A951" s="22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</row>
    <row r="952" spans="1:14" ht="14.25" customHeight="1" x14ac:dyDescent="0.25">
      <c r="A952" s="22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</row>
    <row r="953" spans="1:14" ht="14.25" customHeight="1" x14ac:dyDescent="0.25">
      <c r="A953" s="22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</row>
    <row r="954" spans="1:14" ht="14.25" customHeight="1" x14ac:dyDescent="0.25">
      <c r="A954" s="22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</row>
    <row r="955" spans="1:14" ht="14.25" customHeight="1" x14ac:dyDescent="0.25">
      <c r="A955" s="22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</row>
    <row r="956" spans="1:14" ht="14.25" customHeight="1" x14ac:dyDescent="0.25">
      <c r="A956" s="22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</row>
    <row r="957" spans="1:14" ht="14.25" customHeight="1" x14ac:dyDescent="0.25">
      <c r="A957" s="22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</row>
    <row r="958" spans="1:14" ht="14.25" customHeight="1" x14ac:dyDescent="0.25">
      <c r="A958" s="22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</row>
    <row r="959" spans="1:14" ht="14.25" customHeight="1" x14ac:dyDescent="0.25">
      <c r="A959" s="22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</row>
    <row r="960" spans="1:14" ht="14.25" customHeight="1" x14ac:dyDescent="0.25">
      <c r="A960" s="22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</row>
    <row r="961" spans="1:14" ht="14.25" customHeight="1" x14ac:dyDescent="0.25">
      <c r="A961" s="22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</row>
    <row r="962" spans="1:14" ht="14.25" customHeight="1" x14ac:dyDescent="0.25">
      <c r="A962" s="22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</row>
    <row r="963" spans="1:14" ht="14.25" customHeight="1" x14ac:dyDescent="0.25">
      <c r="A963" s="22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</row>
    <row r="964" spans="1:14" ht="14.25" customHeight="1" x14ac:dyDescent="0.25">
      <c r="A964" s="22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</row>
    <row r="965" spans="1:14" ht="14.25" customHeight="1" x14ac:dyDescent="0.25">
      <c r="A965" s="22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</row>
    <row r="966" spans="1:14" ht="14.25" customHeight="1" x14ac:dyDescent="0.25">
      <c r="A966" s="22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</row>
    <row r="967" spans="1:14" ht="14.25" customHeight="1" x14ac:dyDescent="0.25">
      <c r="A967" s="22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</row>
    <row r="968" spans="1:14" ht="14.25" customHeight="1" x14ac:dyDescent="0.25">
      <c r="A968" s="22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</row>
    <row r="969" spans="1:14" ht="14.25" customHeight="1" x14ac:dyDescent="0.25">
      <c r="A969" s="22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</row>
    <row r="970" spans="1:14" ht="14.25" customHeight="1" x14ac:dyDescent="0.25">
      <c r="A970" s="22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</row>
    <row r="971" spans="1:14" ht="14.25" customHeight="1" x14ac:dyDescent="0.25">
      <c r="A971" s="22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</row>
    <row r="972" spans="1:14" ht="14.25" customHeight="1" x14ac:dyDescent="0.25">
      <c r="A972" s="22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</row>
    <row r="973" spans="1:14" ht="14.25" customHeight="1" x14ac:dyDescent="0.25">
      <c r="A973" s="22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</row>
    <row r="974" spans="1:14" ht="14.25" customHeight="1" x14ac:dyDescent="0.25">
      <c r="A974" s="22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</row>
    <row r="975" spans="1:14" ht="14.25" customHeight="1" x14ac:dyDescent="0.25">
      <c r="A975" s="22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</row>
    <row r="976" spans="1:14" ht="14.25" customHeight="1" x14ac:dyDescent="0.25">
      <c r="A976" s="22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</row>
    <row r="977" spans="1:14" ht="14.25" customHeight="1" x14ac:dyDescent="0.25">
      <c r="A977" s="22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</row>
    <row r="978" spans="1:14" ht="14.25" customHeight="1" x14ac:dyDescent="0.25">
      <c r="A978" s="22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</row>
    <row r="979" spans="1:14" ht="14.25" customHeight="1" x14ac:dyDescent="0.25">
      <c r="A979" s="22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</row>
    <row r="980" spans="1:14" ht="14.25" customHeight="1" x14ac:dyDescent="0.25">
      <c r="A980" s="22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</row>
    <row r="981" spans="1:14" ht="14.25" customHeight="1" x14ac:dyDescent="0.25">
      <c r="A981" s="22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</row>
    <row r="982" spans="1:14" ht="14.25" customHeight="1" x14ac:dyDescent="0.25">
      <c r="A982" s="22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</row>
    <row r="983" spans="1:14" ht="14.25" customHeight="1" x14ac:dyDescent="0.25">
      <c r="A983" s="22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</row>
    <row r="984" spans="1:14" ht="14.25" customHeight="1" x14ac:dyDescent="0.25">
      <c r="A984" s="22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</row>
    <row r="985" spans="1:14" ht="14.25" customHeight="1" x14ac:dyDescent="0.25">
      <c r="A985" s="22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</row>
    <row r="986" spans="1:14" ht="14.25" customHeight="1" x14ac:dyDescent="0.25">
      <c r="A986" s="22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</row>
    <row r="987" spans="1:14" ht="14.25" customHeight="1" x14ac:dyDescent="0.25">
      <c r="A987" s="22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</row>
    <row r="988" spans="1:14" ht="14.25" customHeight="1" x14ac:dyDescent="0.25">
      <c r="A988" s="22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</row>
    <row r="989" spans="1:14" ht="14.25" customHeight="1" x14ac:dyDescent="0.25">
      <c r="A989" s="22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</row>
    <row r="990" spans="1:14" ht="14.25" customHeight="1" x14ac:dyDescent="0.25">
      <c r="A990" s="22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</row>
    <row r="991" spans="1:14" ht="14.25" customHeight="1" x14ac:dyDescent="0.25">
      <c r="A991" s="22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</row>
    <row r="992" spans="1:14" ht="14.25" customHeight="1" x14ac:dyDescent="0.25">
      <c r="A992" s="22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</row>
    <row r="993" spans="1:14" ht="14.25" customHeight="1" x14ac:dyDescent="0.25">
      <c r="A993" s="22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</row>
    <row r="994" spans="1:14" ht="14.25" customHeight="1" x14ac:dyDescent="0.25">
      <c r="A994" s="22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</row>
    <row r="995" spans="1:14" ht="14.25" customHeight="1" x14ac:dyDescent="0.25">
      <c r="A995" s="22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</row>
    <row r="996" spans="1:14" ht="14.25" customHeight="1" x14ac:dyDescent="0.25">
      <c r="A996" s="22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</row>
    <row r="997" spans="1:14" ht="14.25" customHeight="1" x14ac:dyDescent="0.25">
      <c r="A997" s="22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</row>
    <row r="998" spans="1:14" ht="14.25" customHeight="1" x14ac:dyDescent="0.25">
      <c r="A998" s="22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</row>
    <row r="999" spans="1:14" x14ac:dyDescent="0.25">
      <c r="A999" s="22"/>
    </row>
    <row r="1000" spans="1:14" x14ac:dyDescent="0.25">
      <c r="A1000" s="22"/>
    </row>
  </sheetData>
  <pageMargins left="0.7" right="0.7" top="0.75" bottom="0.75" header="0.3" footer="0.3"/>
  <pageSetup paperSize="5" orientation="landscape" r:id="rId1"/>
  <headerFooter>
    <oddHeader>&amp;C2022 Draft Budget
&amp;A</oddHeader>
    <oddFooter>&amp;C&amp;F 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Q1000"/>
  <sheetViews>
    <sheetView zoomScale="150" zoomScaleNormal="150" workbookViewId="0">
      <pane xSplit="1" ySplit="1" topLeftCell="E110" activePane="bottomRight" state="frozen"/>
      <selection pane="topRight" activeCell="B1" sqref="B1"/>
      <selection pane="bottomLeft" activeCell="A2" sqref="A2"/>
      <selection pane="bottomRight" activeCell="A24" sqref="A24:XFD24"/>
    </sheetView>
  </sheetViews>
  <sheetFormatPr defaultColWidth="12.625" defaultRowHeight="15" customHeight="1" x14ac:dyDescent="0.2"/>
  <cols>
    <col min="1" max="1" width="32" customWidth="1"/>
    <col min="2" max="14" width="10.75" customWidth="1"/>
    <col min="15" max="15" width="13.625" bestFit="1" customWidth="1"/>
    <col min="16" max="16" width="14.25" customWidth="1"/>
    <col min="17" max="17" width="14.625" customWidth="1"/>
    <col min="18" max="26" width="7.625" customWidth="1"/>
  </cols>
  <sheetData>
    <row r="1" spans="1:17" ht="57.75" customHeight="1" x14ac:dyDescent="0.25">
      <c r="A1" s="8" t="s">
        <v>6</v>
      </c>
      <c r="B1" s="20" t="s">
        <v>17</v>
      </c>
      <c r="C1" s="20" t="s">
        <v>18</v>
      </c>
      <c r="D1" s="20" t="s">
        <v>19</v>
      </c>
      <c r="E1" s="20" t="s">
        <v>20</v>
      </c>
      <c r="F1" s="20" t="s">
        <v>21</v>
      </c>
      <c r="G1" s="20" t="s">
        <v>22</v>
      </c>
      <c r="H1" s="20" t="s">
        <v>23</v>
      </c>
      <c r="I1" s="20" t="s">
        <v>24</v>
      </c>
      <c r="J1" s="20" t="s">
        <v>25</v>
      </c>
      <c r="K1" s="20" t="s">
        <v>7</v>
      </c>
      <c r="L1" s="20" t="s">
        <v>8</v>
      </c>
      <c r="M1" s="20" t="s">
        <v>9</v>
      </c>
      <c r="N1" s="31" t="s">
        <v>153</v>
      </c>
      <c r="O1" s="43" t="s">
        <v>171</v>
      </c>
      <c r="P1" s="43" t="s">
        <v>175</v>
      </c>
      <c r="Q1" s="44" t="s">
        <v>176</v>
      </c>
    </row>
    <row r="2" spans="1:17" ht="14.25" customHeight="1" x14ac:dyDescent="0.25">
      <c r="A2" s="16" t="s">
        <v>11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>
        <f t="shared" ref="N2:N19" si="0">SUM(B2:M2)</f>
        <v>0</v>
      </c>
      <c r="O2" s="41"/>
      <c r="P2" s="41"/>
      <c r="Q2" s="41"/>
    </row>
    <row r="3" spans="1:17" ht="14.25" customHeight="1" x14ac:dyDescent="0.25">
      <c r="A3" s="14" t="s">
        <v>26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>
        <f t="shared" si="0"/>
        <v>0</v>
      </c>
      <c r="O3" s="41"/>
      <c r="P3" s="41"/>
      <c r="Q3" s="41"/>
    </row>
    <row r="4" spans="1:17" ht="14.25" customHeight="1" x14ac:dyDescent="0.25">
      <c r="A4" s="16" t="s">
        <v>27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>
        <f t="shared" si="0"/>
        <v>0</v>
      </c>
      <c r="O4" s="41"/>
      <c r="P4" s="41"/>
      <c r="Q4" s="41"/>
    </row>
    <row r="5" spans="1:17" ht="14.25" customHeight="1" x14ac:dyDescent="0.25">
      <c r="A5" s="16" t="s">
        <v>28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>
        <f t="shared" si="0"/>
        <v>0</v>
      </c>
      <c r="O5" s="41"/>
      <c r="P5" s="41"/>
      <c r="Q5" s="41"/>
    </row>
    <row r="6" spans="1:17" ht="14.25" customHeight="1" x14ac:dyDescent="0.25">
      <c r="A6" s="16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>
        <f t="shared" si="0"/>
        <v>0</v>
      </c>
      <c r="O6" s="41"/>
      <c r="P6" s="41"/>
      <c r="Q6" s="41"/>
    </row>
    <row r="7" spans="1:17" ht="14.25" customHeight="1" x14ac:dyDescent="0.25">
      <c r="A7" s="16" t="s">
        <v>30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>
        <f t="shared" si="0"/>
        <v>0</v>
      </c>
      <c r="O7" s="41"/>
      <c r="P7" s="41"/>
      <c r="Q7" s="41"/>
    </row>
    <row r="8" spans="1:17" ht="14.25" customHeight="1" x14ac:dyDescent="0.25">
      <c r="A8" s="16" t="s">
        <v>31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 t="shared" si="0"/>
        <v>0</v>
      </c>
      <c r="O8" s="41"/>
      <c r="P8" s="41"/>
      <c r="Q8" s="41"/>
    </row>
    <row r="9" spans="1:17" ht="14.25" customHeight="1" x14ac:dyDescent="0.25">
      <c r="A9" s="14" t="s">
        <v>32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>
        <f t="shared" si="0"/>
        <v>0</v>
      </c>
      <c r="O9" s="41"/>
      <c r="P9" s="41"/>
      <c r="Q9" s="41"/>
    </row>
    <row r="10" spans="1:17" ht="14.25" customHeight="1" x14ac:dyDescent="0.25">
      <c r="A10" s="16" t="s">
        <v>33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>
        <f t="shared" si="0"/>
        <v>0</v>
      </c>
      <c r="O10" s="41"/>
      <c r="P10" s="41"/>
      <c r="Q10" s="41"/>
    </row>
    <row r="11" spans="1:17" ht="14.25" customHeight="1" x14ac:dyDescent="0.25">
      <c r="A11" s="16" t="s">
        <v>34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>
        <f t="shared" si="0"/>
        <v>0</v>
      </c>
      <c r="O11" s="41"/>
      <c r="P11" s="41"/>
      <c r="Q11" s="41"/>
    </row>
    <row r="12" spans="1:17" ht="14.25" customHeight="1" x14ac:dyDescent="0.25">
      <c r="A12" s="16" t="s">
        <v>35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>
        <f t="shared" si="0"/>
        <v>0</v>
      </c>
      <c r="O12" s="41"/>
      <c r="P12" s="41"/>
      <c r="Q12" s="41"/>
    </row>
    <row r="13" spans="1:17" ht="14.25" customHeight="1" x14ac:dyDescent="0.25">
      <c r="A13" s="16" t="s">
        <v>36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>
        <f t="shared" si="0"/>
        <v>0</v>
      </c>
      <c r="O13" s="41"/>
      <c r="P13" s="41"/>
      <c r="Q13" s="41"/>
    </row>
    <row r="14" spans="1:17" ht="14.25" customHeight="1" x14ac:dyDescent="0.25">
      <c r="A14" s="16" t="s">
        <v>37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>
        <f t="shared" si="0"/>
        <v>0</v>
      </c>
      <c r="O14" s="41"/>
      <c r="P14" s="41"/>
      <c r="Q14" s="41"/>
    </row>
    <row r="15" spans="1:17" ht="14.25" customHeight="1" x14ac:dyDescent="0.25">
      <c r="A15" s="16" t="s">
        <v>38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>
        <f t="shared" si="0"/>
        <v>0</v>
      </c>
      <c r="O15" s="41"/>
      <c r="P15" s="41"/>
      <c r="Q15" s="41"/>
    </row>
    <row r="16" spans="1:17" ht="14.25" customHeight="1" x14ac:dyDescent="0.25">
      <c r="A16" s="16" t="s">
        <v>39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>
        <f t="shared" si="0"/>
        <v>0</v>
      </c>
      <c r="O16" s="41"/>
      <c r="P16" s="41"/>
      <c r="Q16" s="41"/>
    </row>
    <row r="17" spans="1:17" ht="14.25" customHeight="1" x14ac:dyDescent="0.25">
      <c r="A17" s="16" t="s">
        <v>40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>
        <f t="shared" si="0"/>
        <v>0</v>
      </c>
      <c r="O17" s="41"/>
      <c r="P17" s="41"/>
      <c r="Q17" s="41"/>
    </row>
    <row r="18" spans="1:17" ht="14.25" customHeight="1" x14ac:dyDescent="0.25">
      <c r="A18" s="16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>
        <f t="shared" si="0"/>
        <v>0</v>
      </c>
      <c r="O18" s="41"/>
      <c r="P18" s="41"/>
      <c r="Q18" s="41"/>
    </row>
    <row r="19" spans="1:17" ht="14.25" customHeight="1" x14ac:dyDescent="0.25">
      <c r="A19" s="14" t="s">
        <v>42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 t="shared" si="0"/>
        <v>0</v>
      </c>
      <c r="O19" s="41"/>
      <c r="P19" s="41"/>
      <c r="Q19" s="41"/>
    </row>
    <row r="20" spans="1:17" s="104" customFormat="1" ht="14.25" customHeight="1" x14ac:dyDescent="0.25">
      <c r="A20" s="105" t="s">
        <v>43</v>
      </c>
      <c r="B20" s="110">
        <f>150</f>
        <v>150</v>
      </c>
      <c r="C20" s="110">
        <f>150</f>
        <v>150</v>
      </c>
      <c r="D20" s="110">
        <v>200</v>
      </c>
      <c r="E20" s="110">
        <v>400</v>
      </c>
      <c r="F20" s="110">
        <v>400</v>
      </c>
      <c r="G20" s="110">
        <v>350</v>
      </c>
      <c r="H20" s="110">
        <v>300</v>
      </c>
      <c r="I20" s="110">
        <v>300</v>
      </c>
      <c r="J20" s="110">
        <v>500</v>
      </c>
      <c r="K20" s="111">
        <v>250</v>
      </c>
      <c r="L20" s="112">
        <v>400</v>
      </c>
      <c r="M20" s="112">
        <v>400</v>
      </c>
      <c r="N20" s="112">
        <f t="shared" ref="N20:N24" si="1">SUM(B20:M20)</f>
        <v>3800</v>
      </c>
      <c r="O20" s="112">
        <f>3431.01</f>
        <v>3431.01</v>
      </c>
      <c r="P20" s="112">
        <f>5000</f>
        <v>5000</v>
      </c>
      <c r="Q20" s="112">
        <f>N20-O20</f>
        <v>368.98999999999978</v>
      </c>
    </row>
    <row r="21" spans="1:17" s="104" customFormat="1" ht="14.25" customHeight="1" x14ac:dyDescent="0.25">
      <c r="A21" s="105" t="s">
        <v>44</v>
      </c>
      <c r="B21" s="110">
        <v>4600</v>
      </c>
      <c r="C21" s="110">
        <v>4400</v>
      </c>
      <c r="D21" s="110">
        <v>5900</v>
      </c>
      <c r="E21" s="110">
        <v>4100</v>
      </c>
      <c r="F21" s="110">
        <v>5200</v>
      </c>
      <c r="G21" s="110">
        <v>3400</v>
      </c>
      <c r="H21" s="110">
        <v>4400</v>
      </c>
      <c r="I21" s="110">
        <v>2200</v>
      </c>
      <c r="J21" s="110">
        <v>2950</v>
      </c>
      <c r="K21" s="111">
        <v>850</v>
      </c>
      <c r="L21" s="113">
        <v>2000</v>
      </c>
      <c r="M21" s="113">
        <v>2000</v>
      </c>
      <c r="N21" s="112">
        <f t="shared" si="1"/>
        <v>42000</v>
      </c>
      <c r="O21" s="112">
        <f>43124.04</f>
        <v>43124.04</v>
      </c>
      <c r="P21" s="112">
        <f>41800</f>
        <v>41800</v>
      </c>
      <c r="Q21" s="112">
        <f t="shared" ref="Q21:Q24" si="2">N21-O21</f>
        <v>-1124.0400000000009</v>
      </c>
    </row>
    <row r="22" spans="1:17" s="104" customFormat="1" ht="14.25" customHeight="1" x14ac:dyDescent="0.25">
      <c r="A22" s="105" t="s">
        <v>45</v>
      </c>
      <c r="B22" s="110">
        <v>14000</v>
      </c>
      <c r="C22" s="110">
        <v>9250</v>
      </c>
      <c r="D22" s="110">
        <v>7500</v>
      </c>
      <c r="E22" s="110">
        <v>5250</v>
      </c>
      <c r="F22" s="110">
        <v>5750</v>
      </c>
      <c r="G22" s="110">
        <v>6250</v>
      </c>
      <c r="H22" s="110">
        <v>4750</v>
      </c>
      <c r="I22" s="110">
        <v>5750</v>
      </c>
      <c r="J22" s="110">
        <v>8250</v>
      </c>
      <c r="K22" s="111">
        <v>7000</v>
      </c>
      <c r="L22" s="113">
        <v>4750</v>
      </c>
      <c r="M22" s="113">
        <v>4750</v>
      </c>
      <c r="N22" s="112">
        <f t="shared" si="1"/>
        <v>83250</v>
      </c>
      <c r="O22" s="112">
        <f>85750</f>
        <v>85750</v>
      </c>
      <c r="P22" s="112">
        <f>83300</f>
        <v>83300</v>
      </c>
      <c r="Q22" s="112">
        <f t="shared" si="2"/>
        <v>-2500</v>
      </c>
    </row>
    <row r="23" spans="1:17" s="119" customFormat="1" ht="14.25" customHeight="1" x14ac:dyDescent="0.25">
      <c r="A23" s="51" t="s">
        <v>46</v>
      </c>
      <c r="B23" s="135">
        <v>78129.320000000007</v>
      </c>
      <c r="C23" s="135">
        <v>48798.44</v>
      </c>
      <c r="D23" s="135">
        <f>67799.9+1749.67484</f>
        <v>69549.574840000001</v>
      </c>
      <c r="E23" s="135">
        <f>49600.7+1280.01806</f>
        <v>50880.718059999999</v>
      </c>
      <c r="F23" s="135">
        <f>45938+1185.49677</f>
        <v>47123.496769999998</v>
      </c>
      <c r="G23" s="135">
        <f>56071.8+1447.01419</f>
        <v>57518.814190000005</v>
      </c>
      <c r="H23" s="135">
        <f>67830.79+1750.472</f>
        <v>69581.261999999988</v>
      </c>
      <c r="I23" s="135">
        <f>50389.8+1300.38194</f>
        <v>51690.181940000002</v>
      </c>
      <c r="J23" s="135">
        <f>55380.9+1429.18452</f>
        <v>56810.084520000004</v>
      </c>
      <c r="K23" s="136">
        <f>62341+1608.8</f>
        <v>63949.8</v>
      </c>
      <c r="L23" s="138">
        <f>56060+1446.70968</f>
        <v>57506.70968</v>
      </c>
      <c r="M23" s="138">
        <f>56059.35+1446.6929</f>
        <v>57506.0429</v>
      </c>
      <c r="N23" s="137">
        <f t="shared" si="1"/>
        <v>709044.4449</v>
      </c>
      <c r="O23" s="137">
        <f>686075.25</f>
        <v>686075.25</v>
      </c>
      <c r="P23" s="137">
        <f>665322</f>
        <v>665322</v>
      </c>
      <c r="Q23" s="137">
        <f t="shared" si="2"/>
        <v>22969.194900000002</v>
      </c>
    </row>
    <row r="24" spans="1:17" s="104" customFormat="1" ht="14.25" customHeight="1" x14ac:dyDescent="0.25">
      <c r="A24" s="105" t="s">
        <v>47</v>
      </c>
      <c r="B24" s="110">
        <v>17850</v>
      </c>
      <c r="C24" s="110">
        <v>24650</v>
      </c>
      <c r="D24" s="110">
        <v>16150</v>
      </c>
      <c r="E24" s="110">
        <v>9350</v>
      </c>
      <c r="F24" s="110">
        <f>11475+31.25</f>
        <v>11506.25</v>
      </c>
      <c r="G24" s="110">
        <f>8925+31.25</f>
        <v>8956.25</v>
      </c>
      <c r="H24" s="110">
        <f>8925+31.25</f>
        <v>8956.25</v>
      </c>
      <c r="I24" s="110">
        <f>10200+31.25</f>
        <v>10231.25</v>
      </c>
      <c r="J24" s="110">
        <f>16150+31.25</f>
        <v>16181.25</v>
      </c>
      <c r="K24" s="111">
        <f>10200+31.25</f>
        <v>10231.25</v>
      </c>
      <c r="L24" s="113">
        <f>6800+31.25</f>
        <v>6831.25</v>
      </c>
      <c r="M24" s="113">
        <f>6800+28.25</f>
        <v>6828.25</v>
      </c>
      <c r="N24" s="112">
        <f t="shared" si="1"/>
        <v>147722</v>
      </c>
      <c r="O24" s="112">
        <f>147475</f>
        <v>147475</v>
      </c>
      <c r="P24" s="112">
        <f>145350</f>
        <v>145350</v>
      </c>
      <c r="Q24" s="112">
        <f t="shared" si="2"/>
        <v>247</v>
      </c>
    </row>
    <row r="25" spans="1:17" ht="14.25" customHeight="1" x14ac:dyDescent="0.25">
      <c r="A25" s="14" t="s">
        <v>48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>
        <f t="shared" ref="N25:N69" si="3">SUM(B25:M25)</f>
        <v>0</v>
      </c>
      <c r="O25" s="41"/>
      <c r="P25" s="41"/>
      <c r="Q25" s="41"/>
    </row>
    <row r="26" spans="1:17" ht="14.25" customHeight="1" x14ac:dyDescent="0.25">
      <c r="A26" s="16" t="s">
        <v>49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>
        <f t="shared" si="3"/>
        <v>0</v>
      </c>
      <c r="O26" s="41"/>
      <c r="P26" s="41"/>
      <c r="Q26" s="41"/>
    </row>
    <row r="27" spans="1:17" ht="14.25" customHeight="1" x14ac:dyDescent="0.25">
      <c r="A27" s="16" t="s">
        <v>50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>
        <f t="shared" si="3"/>
        <v>0</v>
      </c>
      <c r="O27" s="41"/>
      <c r="P27" s="41"/>
      <c r="Q27" s="41"/>
    </row>
    <row r="28" spans="1:17" ht="14.25" customHeight="1" x14ac:dyDescent="0.25">
      <c r="A28" s="16" t="s">
        <v>51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>
        <f t="shared" si="3"/>
        <v>0</v>
      </c>
      <c r="O28" s="41"/>
      <c r="P28" s="41"/>
      <c r="Q28" s="41"/>
    </row>
    <row r="29" spans="1:17" ht="14.25" customHeight="1" x14ac:dyDescent="0.25">
      <c r="A29" s="16" t="s">
        <v>52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>
        <f t="shared" si="3"/>
        <v>0</v>
      </c>
      <c r="O29" s="41"/>
      <c r="P29" s="41"/>
      <c r="Q29" s="41"/>
    </row>
    <row r="30" spans="1:17" ht="14.25" customHeight="1" x14ac:dyDescent="0.25">
      <c r="A30" s="16" t="s">
        <v>53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>
        <f t="shared" si="3"/>
        <v>0</v>
      </c>
      <c r="O30" s="41"/>
      <c r="P30" s="41"/>
      <c r="Q30" s="41"/>
    </row>
    <row r="31" spans="1:17" ht="14.25" customHeight="1" x14ac:dyDescent="0.25">
      <c r="A31" s="16" t="s">
        <v>54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>
        <f t="shared" si="3"/>
        <v>0</v>
      </c>
      <c r="O31" s="41"/>
      <c r="P31" s="41"/>
      <c r="Q31" s="41"/>
    </row>
    <row r="32" spans="1:17" ht="14.25" customHeight="1" x14ac:dyDescent="0.25">
      <c r="A32" s="16" t="s">
        <v>55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>
        <f t="shared" si="3"/>
        <v>0</v>
      </c>
      <c r="O32" s="41"/>
      <c r="P32" s="41"/>
      <c r="Q32" s="41"/>
    </row>
    <row r="33" spans="1:17" ht="14.25" customHeight="1" x14ac:dyDescent="0.25">
      <c r="A33" s="16" t="s">
        <v>56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 t="shared" si="3"/>
        <v>0</v>
      </c>
      <c r="O33" s="41"/>
      <c r="P33" s="41"/>
      <c r="Q33" s="41"/>
    </row>
    <row r="34" spans="1:17" ht="14.25" customHeight="1" x14ac:dyDescent="0.25">
      <c r="A34" s="16" t="s">
        <v>57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>
        <f t="shared" si="3"/>
        <v>0</v>
      </c>
      <c r="O34" s="41"/>
      <c r="P34" s="41"/>
      <c r="Q34" s="41"/>
    </row>
    <row r="35" spans="1:17" ht="14.25" customHeight="1" x14ac:dyDescent="0.25">
      <c r="A35" s="16" t="s">
        <v>58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>
        <f t="shared" si="3"/>
        <v>0</v>
      </c>
      <c r="O35" s="41"/>
      <c r="P35" s="41"/>
      <c r="Q35" s="41"/>
    </row>
    <row r="36" spans="1:17" ht="14.25" customHeight="1" x14ac:dyDescent="0.25">
      <c r="A36" s="16" t="s">
        <v>59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>
        <f t="shared" si="3"/>
        <v>0</v>
      </c>
      <c r="O36" s="41"/>
      <c r="P36" s="41"/>
      <c r="Q36" s="41"/>
    </row>
    <row r="37" spans="1:17" ht="14.25" customHeight="1" x14ac:dyDescent="0.25">
      <c r="A37" s="16" t="s">
        <v>60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>
        <f t="shared" si="3"/>
        <v>0</v>
      </c>
      <c r="O37" s="41"/>
      <c r="P37" s="41"/>
      <c r="Q37" s="41"/>
    </row>
    <row r="38" spans="1:17" ht="14.25" customHeight="1" x14ac:dyDescent="0.25">
      <c r="A38" s="16" t="s">
        <v>61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>
        <f t="shared" si="3"/>
        <v>0</v>
      </c>
      <c r="O38" s="41"/>
      <c r="P38" s="41"/>
      <c r="Q38" s="41"/>
    </row>
    <row r="39" spans="1:17" ht="14.25" customHeight="1" x14ac:dyDescent="0.25">
      <c r="A39" s="16" t="s">
        <v>62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>
        <f t="shared" si="3"/>
        <v>0</v>
      </c>
      <c r="O39" s="41"/>
      <c r="P39" s="41"/>
      <c r="Q39" s="41"/>
    </row>
    <row r="40" spans="1:17" ht="14.25" customHeight="1" x14ac:dyDescent="0.25">
      <c r="A40" s="16" t="s">
        <v>63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>
        <f t="shared" si="3"/>
        <v>0</v>
      </c>
      <c r="O40" s="41"/>
      <c r="P40" s="41"/>
      <c r="Q40" s="41"/>
    </row>
    <row r="41" spans="1:17" ht="14.25" customHeight="1" x14ac:dyDescent="0.25">
      <c r="A41" s="14" t="s">
        <v>64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>
        <f t="shared" si="3"/>
        <v>0</v>
      </c>
      <c r="O41" s="41"/>
      <c r="P41" s="41"/>
      <c r="Q41" s="41"/>
    </row>
    <row r="42" spans="1:17" ht="14.25" customHeight="1" x14ac:dyDescent="0.25">
      <c r="A42" s="16" t="s">
        <v>65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>
        <f t="shared" si="3"/>
        <v>0</v>
      </c>
      <c r="O42" s="41"/>
      <c r="P42" s="41"/>
      <c r="Q42" s="41"/>
    </row>
    <row r="43" spans="1:17" ht="14.25" customHeight="1" x14ac:dyDescent="0.25">
      <c r="A43" s="16" t="s">
        <v>66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>
        <f t="shared" si="3"/>
        <v>0</v>
      </c>
      <c r="O43" s="41"/>
      <c r="P43" s="41"/>
      <c r="Q43" s="41"/>
    </row>
    <row r="44" spans="1:17" ht="14.25" customHeight="1" x14ac:dyDescent="0.25">
      <c r="A44" s="16" t="s">
        <v>67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>
        <f t="shared" si="3"/>
        <v>0</v>
      </c>
      <c r="O44" s="41"/>
      <c r="P44" s="41"/>
      <c r="Q44" s="41"/>
    </row>
    <row r="45" spans="1:17" ht="14.25" customHeight="1" x14ac:dyDescent="0.25">
      <c r="A45" s="16" t="s">
        <v>68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>
        <f t="shared" si="3"/>
        <v>0</v>
      </c>
      <c r="O45" s="41"/>
      <c r="P45" s="41"/>
      <c r="Q45" s="41"/>
    </row>
    <row r="46" spans="1:17" ht="14.25" customHeight="1" x14ac:dyDescent="0.25">
      <c r="A46" s="16" t="s">
        <v>69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>
        <f t="shared" si="3"/>
        <v>0</v>
      </c>
      <c r="O46" s="41"/>
      <c r="P46" s="41"/>
      <c r="Q46" s="41"/>
    </row>
    <row r="47" spans="1:17" ht="14.25" customHeight="1" x14ac:dyDescent="0.25">
      <c r="A47" s="16" t="s">
        <v>70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>
        <f t="shared" si="3"/>
        <v>0</v>
      </c>
      <c r="O47" s="41"/>
      <c r="P47" s="41"/>
      <c r="Q47" s="41"/>
    </row>
    <row r="48" spans="1:17" ht="14.25" customHeight="1" x14ac:dyDescent="0.25">
      <c r="A48" s="16" t="s">
        <v>71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>
        <f t="shared" si="3"/>
        <v>0</v>
      </c>
      <c r="O48" s="41"/>
      <c r="P48" s="41"/>
      <c r="Q48" s="41"/>
    </row>
    <row r="49" spans="1:17" ht="14.25" customHeight="1" x14ac:dyDescent="0.25">
      <c r="A49" s="16" t="s">
        <v>72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>
        <f t="shared" si="3"/>
        <v>0</v>
      </c>
      <c r="O49" s="41"/>
      <c r="P49" s="41"/>
      <c r="Q49" s="41"/>
    </row>
    <row r="50" spans="1:17" ht="14.25" customHeight="1" x14ac:dyDescent="0.25">
      <c r="A50" s="16" t="s">
        <v>73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>
        <f t="shared" si="3"/>
        <v>0</v>
      </c>
      <c r="O50" s="41"/>
      <c r="P50" s="41"/>
      <c r="Q50" s="41"/>
    </row>
    <row r="51" spans="1:17" ht="14.25" customHeight="1" x14ac:dyDescent="0.25">
      <c r="A51" s="16" t="s">
        <v>74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>
        <f t="shared" si="3"/>
        <v>0</v>
      </c>
      <c r="O51" s="41"/>
      <c r="P51" s="41"/>
      <c r="Q51" s="41"/>
    </row>
    <row r="52" spans="1:17" ht="14.25" customHeight="1" x14ac:dyDescent="0.25">
      <c r="A52" s="16" t="s">
        <v>75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>
        <f t="shared" si="3"/>
        <v>0</v>
      </c>
      <c r="O52" s="41"/>
      <c r="P52" s="41"/>
      <c r="Q52" s="41"/>
    </row>
    <row r="53" spans="1:17" ht="14.25" customHeight="1" x14ac:dyDescent="0.25">
      <c r="A53" s="14" t="s">
        <v>76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>
        <f t="shared" si="3"/>
        <v>0</v>
      </c>
      <c r="O53" s="41"/>
      <c r="P53" s="41"/>
      <c r="Q53" s="41"/>
    </row>
    <row r="54" spans="1:17" ht="14.25" customHeight="1" x14ac:dyDescent="0.25">
      <c r="A54" s="16" t="s">
        <v>77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>
        <f t="shared" si="3"/>
        <v>0</v>
      </c>
      <c r="O54" s="41"/>
      <c r="P54" s="41"/>
      <c r="Q54" s="41"/>
    </row>
    <row r="55" spans="1:17" ht="14.25" customHeight="1" x14ac:dyDescent="0.25">
      <c r="A55" s="16" t="s">
        <v>78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>
        <f t="shared" si="3"/>
        <v>0</v>
      </c>
      <c r="O55" s="41"/>
      <c r="P55" s="41"/>
      <c r="Q55" s="41"/>
    </row>
    <row r="56" spans="1:17" ht="14.25" customHeight="1" x14ac:dyDescent="0.25">
      <c r="A56" s="16" t="s">
        <v>79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>
        <f t="shared" si="3"/>
        <v>0</v>
      </c>
      <c r="O56" s="41"/>
      <c r="P56" s="41"/>
      <c r="Q56" s="41"/>
    </row>
    <row r="57" spans="1:17" ht="14.25" customHeight="1" x14ac:dyDescent="0.25">
      <c r="A57" s="16" t="s">
        <v>80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>
        <f t="shared" si="3"/>
        <v>0</v>
      </c>
      <c r="O57" s="41"/>
      <c r="P57" s="41"/>
      <c r="Q57" s="41"/>
    </row>
    <row r="58" spans="1:17" ht="14.25" customHeight="1" x14ac:dyDescent="0.25">
      <c r="A58" s="16" t="s">
        <v>81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>
        <f t="shared" si="3"/>
        <v>0</v>
      </c>
      <c r="O58" s="41"/>
      <c r="P58" s="41"/>
      <c r="Q58" s="41"/>
    </row>
    <row r="59" spans="1:17" ht="14.25" customHeight="1" x14ac:dyDescent="0.25">
      <c r="A59" s="16" t="s">
        <v>82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>
        <f t="shared" si="3"/>
        <v>0</v>
      </c>
      <c r="O59" s="41"/>
      <c r="P59" s="41"/>
      <c r="Q59" s="41"/>
    </row>
    <row r="60" spans="1:17" ht="14.25" customHeight="1" x14ac:dyDescent="0.25">
      <c r="A60" s="16" t="s">
        <v>83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>
        <f t="shared" si="3"/>
        <v>0</v>
      </c>
      <c r="O60" s="41"/>
      <c r="P60" s="41"/>
      <c r="Q60" s="41"/>
    </row>
    <row r="61" spans="1:17" ht="14.25" customHeight="1" x14ac:dyDescent="0.25">
      <c r="A61" s="16" t="s">
        <v>84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>
        <f t="shared" si="3"/>
        <v>0</v>
      </c>
      <c r="O61" s="41"/>
      <c r="P61" s="41"/>
      <c r="Q61" s="41"/>
    </row>
    <row r="62" spans="1:17" ht="14.25" customHeight="1" x14ac:dyDescent="0.25">
      <c r="A62" s="16" t="s">
        <v>85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>
        <f t="shared" si="3"/>
        <v>0</v>
      </c>
      <c r="O62" s="41"/>
      <c r="P62" s="41"/>
      <c r="Q62" s="41"/>
    </row>
    <row r="63" spans="1:17" ht="14.25" customHeight="1" x14ac:dyDescent="0.25">
      <c r="A63" s="16" t="s">
        <v>86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>
        <f t="shared" si="3"/>
        <v>0</v>
      </c>
      <c r="O63" s="41"/>
      <c r="P63" s="41"/>
      <c r="Q63" s="41"/>
    </row>
    <row r="64" spans="1:17" ht="14.25" customHeight="1" x14ac:dyDescent="0.25">
      <c r="A64" s="16" t="s">
        <v>87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>
        <f t="shared" si="3"/>
        <v>0</v>
      </c>
      <c r="O64" s="41"/>
      <c r="P64" s="41"/>
      <c r="Q64" s="41"/>
    </row>
    <row r="65" spans="1:17" ht="14.25" customHeight="1" x14ac:dyDescent="0.25">
      <c r="A65" s="16" t="s">
        <v>88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>
        <f t="shared" si="3"/>
        <v>0</v>
      </c>
      <c r="O65" s="41"/>
      <c r="P65" s="41"/>
      <c r="Q65" s="41"/>
    </row>
    <row r="66" spans="1:17" ht="14.25" customHeight="1" x14ac:dyDescent="0.25">
      <c r="A66" s="16" t="s">
        <v>89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>
        <f t="shared" si="3"/>
        <v>0</v>
      </c>
      <c r="O66" s="41"/>
      <c r="P66" s="41"/>
      <c r="Q66" s="41"/>
    </row>
    <row r="67" spans="1:17" ht="14.25" customHeight="1" x14ac:dyDescent="0.25">
      <c r="A67" s="16" t="s">
        <v>90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>
        <f t="shared" si="3"/>
        <v>0</v>
      </c>
      <c r="O67" s="41"/>
      <c r="P67" s="41"/>
      <c r="Q67" s="41"/>
    </row>
    <row r="68" spans="1:17" ht="14.25" customHeight="1" x14ac:dyDescent="0.25">
      <c r="A68" s="16" t="s">
        <v>91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>
        <f t="shared" si="3"/>
        <v>0</v>
      </c>
      <c r="O68" s="41"/>
      <c r="P68" s="41"/>
      <c r="Q68" s="41"/>
    </row>
    <row r="69" spans="1:17" ht="14.25" customHeight="1" x14ac:dyDescent="0.25">
      <c r="A69" s="16" t="s">
        <v>92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>
        <f t="shared" si="3"/>
        <v>0</v>
      </c>
      <c r="O69" s="41"/>
      <c r="P69" s="41"/>
      <c r="Q69" s="41"/>
    </row>
    <row r="70" spans="1:17" s="117" customFormat="1" ht="14.25" customHeight="1" x14ac:dyDescent="0.25">
      <c r="A70" s="114" t="s">
        <v>93</v>
      </c>
      <c r="B70" s="115">
        <v>11163</v>
      </c>
      <c r="C70" s="115">
        <v>11163</v>
      </c>
      <c r="D70" s="115">
        <v>11163</v>
      </c>
      <c r="E70" s="115">
        <v>11163</v>
      </c>
      <c r="F70" s="115">
        <v>11163</v>
      </c>
      <c r="G70" s="115">
        <v>11163</v>
      </c>
      <c r="H70" s="115">
        <v>11163</v>
      </c>
      <c r="I70" s="115">
        <v>11163</v>
      </c>
      <c r="J70" s="115">
        <v>11163</v>
      </c>
      <c r="K70" s="115">
        <v>11163</v>
      </c>
      <c r="L70" s="115">
        <v>11163</v>
      </c>
      <c r="M70" s="115">
        <v>11164</v>
      </c>
      <c r="N70" s="116">
        <f>SUM(B70:M70)</f>
        <v>133957</v>
      </c>
      <c r="O70" s="116">
        <f>106975.64</f>
        <v>106975.64</v>
      </c>
      <c r="P70" s="116">
        <f>118499.99</f>
        <v>118499.99</v>
      </c>
      <c r="Q70" s="116">
        <f>N70-O70</f>
        <v>26981.360000000001</v>
      </c>
    </row>
    <row r="71" spans="1:17" ht="14.25" customHeight="1" x14ac:dyDescent="0.25">
      <c r="A71" s="16" t="s">
        <v>94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>
        <f t="shared" ref="N71:N90" si="4">SUM(B71:M71)</f>
        <v>0</v>
      </c>
      <c r="O71" s="41"/>
      <c r="P71" s="41"/>
      <c r="Q71" s="41"/>
    </row>
    <row r="72" spans="1:17" ht="14.25" customHeight="1" x14ac:dyDescent="0.25">
      <c r="A72" s="16" t="s">
        <v>95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>
        <f t="shared" si="4"/>
        <v>0</v>
      </c>
      <c r="O72" s="41"/>
      <c r="P72" s="41"/>
      <c r="Q72" s="41"/>
    </row>
    <row r="73" spans="1:17" ht="14.25" customHeight="1" x14ac:dyDescent="0.25">
      <c r="A73" s="16" t="s">
        <v>96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>
        <f t="shared" si="4"/>
        <v>0</v>
      </c>
      <c r="O73" s="41"/>
      <c r="P73" s="41"/>
      <c r="Q73" s="41"/>
    </row>
    <row r="74" spans="1:17" ht="14.25" customHeight="1" x14ac:dyDescent="0.25">
      <c r="A74" s="16" t="s">
        <v>97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>
        <f t="shared" si="4"/>
        <v>0</v>
      </c>
      <c r="O74" s="41"/>
      <c r="P74" s="41"/>
      <c r="Q74" s="41"/>
    </row>
    <row r="75" spans="1:17" ht="14.25" customHeight="1" x14ac:dyDescent="0.25">
      <c r="A75" s="16" t="s">
        <v>98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>
        <f t="shared" si="4"/>
        <v>0</v>
      </c>
      <c r="O75" s="41"/>
      <c r="P75" s="41"/>
      <c r="Q75" s="41"/>
    </row>
    <row r="76" spans="1:17" ht="14.25" customHeight="1" x14ac:dyDescent="0.25">
      <c r="A76" s="16" t="s">
        <v>99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>
        <f t="shared" si="4"/>
        <v>0</v>
      </c>
      <c r="O76" s="41"/>
      <c r="P76" s="41"/>
      <c r="Q76" s="41"/>
    </row>
    <row r="77" spans="1:17" ht="14.25" customHeight="1" x14ac:dyDescent="0.25">
      <c r="A77" s="16" t="s">
        <v>100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>
        <f t="shared" si="4"/>
        <v>0</v>
      </c>
      <c r="O77" s="41"/>
      <c r="P77" s="41"/>
      <c r="Q77" s="41"/>
    </row>
    <row r="78" spans="1:17" ht="14.25" customHeight="1" x14ac:dyDescent="0.25">
      <c r="A78" s="16" t="s">
        <v>101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>
        <f t="shared" si="4"/>
        <v>0</v>
      </c>
      <c r="O78" s="41"/>
      <c r="P78" s="41"/>
      <c r="Q78" s="41"/>
    </row>
    <row r="79" spans="1:17" ht="14.25" customHeight="1" x14ac:dyDescent="0.25">
      <c r="A79" s="16" t="s">
        <v>102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>
        <f t="shared" si="4"/>
        <v>0</v>
      </c>
      <c r="O79" s="41"/>
      <c r="P79" s="41"/>
      <c r="Q79" s="41"/>
    </row>
    <row r="80" spans="1:17" ht="14.25" customHeight="1" x14ac:dyDescent="0.25">
      <c r="A80" s="16" t="s">
        <v>103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>
        <f t="shared" si="4"/>
        <v>0</v>
      </c>
      <c r="O80" s="41"/>
      <c r="P80" s="41"/>
      <c r="Q80" s="41"/>
    </row>
    <row r="81" spans="1:17" ht="14.25" customHeight="1" x14ac:dyDescent="0.25">
      <c r="A81" s="16" t="s">
        <v>104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>
        <f t="shared" si="4"/>
        <v>0</v>
      </c>
      <c r="O81" s="41"/>
      <c r="P81" s="41"/>
      <c r="Q81" s="41"/>
    </row>
    <row r="82" spans="1:17" ht="14.25" customHeight="1" x14ac:dyDescent="0.25">
      <c r="A82" s="16" t="s">
        <v>105</v>
      </c>
      <c r="B82" s="18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>
        <f t="shared" si="4"/>
        <v>0</v>
      </c>
      <c r="O82" s="41"/>
      <c r="P82" s="41"/>
      <c r="Q82" s="41"/>
    </row>
    <row r="83" spans="1:17" ht="14.25" customHeight="1" x14ac:dyDescent="0.25">
      <c r="A83" s="16" t="s">
        <v>106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>
        <f t="shared" si="4"/>
        <v>0</v>
      </c>
      <c r="O83" s="41"/>
      <c r="P83" s="41"/>
      <c r="Q83" s="41"/>
    </row>
    <row r="84" spans="1:17" ht="14.25" customHeight="1" x14ac:dyDescent="0.25">
      <c r="A84" s="16" t="s">
        <v>107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>
        <f t="shared" si="4"/>
        <v>0</v>
      </c>
      <c r="O84" s="41"/>
      <c r="P84" s="41"/>
      <c r="Q84" s="41"/>
    </row>
    <row r="85" spans="1:17" ht="14.25" customHeight="1" x14ac:dyDescent="0.25">
      <c r="A85" s="16" t="s">
        <v>108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>
        <f t="shared" si="4"/>
        <v>0</v>
      </c>
      <c r="O85" s="41"/>
      <c r="P85" s="41"/>
      <c r="Q85" s="41"/>
    </row>
    <row r="86" spans="1:17" ht="14.25" customHeight="1" x14ac:dyDescent="0.25">
      <c r="A86" s="16" t="s">
        <v>109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>
        <f t="shared" si="4"/>
        <v>0</v>
      </c>
      <c r="O86" s="41"/>
      <c r="P86" s="41"/>
      <c r="Q86" s="41"/>
    </row>
    <row r="87" spans="1:17" ht="14.25" customHeight="1" x14ac:dyDescent="0.25">
      <c r="A87" s="16" t="s">
        <v>110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>
        <f t="shared" si="4"/>
        <v>0</v>
      </c>
      <c r="O87" s="41"/>
      <c r="P87" s="41"/>
      <c r="Q87" s="41"/>
    </row>
    <row r="88" spans="1:17" ht="14.25" customHeight="1" x14ac:dyDescent="0.25">
      <c r="A88" s="16" t="s">
        <v>111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>
        <f t="shared" si="4"/>
        <v>0</v>
      </c>
      <c r="O88" s="41"/>
      <c r="P88" s="41"/>
      <c r="Q88" s="41"/>
    </row>
    <row r="89" spans="1:17" ht="14.25" customHeight="1" x14ac:dyDescent="0.25">
      <c r="A89" s="16" t="s">
        <v>112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>
        <f t="shared" si="4"/>
        <v>0</v>
      </c>
      <c r="O89" s="41"/>
      <c r="P89" s="41"/>
      <c r="Q89" s="41"/>
    </row>
    <row r="90" spans="1:17" ht="14.25" customHeight="1" x14ac:dyDescent="0.25">
      <c r="A90" s="16" t="s">
        <v>113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>
        <f t="shared" si="4"/>
        <v>0</v>
      </c>
      <c r="O90" s="41"/>
      <c r="P90" s="41"/>
      <c r="Q90" s="41"/>
    </row>
    <row r="91" spans="1:17" s="104" customFormat="1" ht="14.25" customHeight="1" x14ac:dyDescent="0.25">
      <c r="A91" s="105" t="s">
        <v>114</v>
      </c>
      <c r="B91" s="110">
        <v>6575</v>
      </c>
      <c r="C91" s="110">
        <v>6575</v>
      </c>
      <c r="D91" s="110">
        <v>6575</v>
      </c>
      <c r="E91" s="110">
        <v>6575</v>
      </c>
      <c r="F91" s="110">
        <v>6575</v>
      </c>
      <c r="G91" s="110">
        <v>6575</v>
      </c>
      <c r="H91" s="110">
        <v>6575</v>
      </c>
      <c r="I91" s="110">
        <v>6575</v>
      </c>
      <c r="J91" s="110">
        <v>6575</v>
      </c>
      <c r="K91" s="110">
        <v>6575</v>
      </c>
      <c r="L91" s="110">
        <v>6575</v>
      </c>
      <c r="M91" s="110">
        <v>6575</v>
      </c>
      <c r="N91" s="106">
        <f>SUM(B91:M91)</f>
        <v>78900</v>
      </c>
      <c r="O91" s="112">
        <f>72193.66</f>
        <v>72193.66</v>
      </c>
      <c r="P91" s="112">
        <f>80360.04</f>
        <v>80360.039999999994</v>
      </c>
      <c r="Q91" s="112">
        <f>N91-O91</f>
        <v>6706.3399999999965</v>
      </c>
    </row>
    <row r="92" spans="1:17" ht="14.25" customHeight="1" x14ac:dyDescent="0.25">
      <c r="A92" s="16" t="s">
        <v>115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>
        <f t="shared" ref="N92:N126" si="5">SUM(B92:M92)</f>
        <v>0</v>
      </c>
      <c r="O92" s="41"/>
      <c r="P92" s="41"/>
      <c r="Q92" s="41"/>
    </row>
    <row r="93" spans="1:17" ht="14.25" customHeight="1" x14ac:dyDescent="0.25">
      <c r="A93" s="16" t="s">
        <v>116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>
        <f t="shared" si="5"/>
        <v>0</v>
      </c>
      <c r="O93" s="41"/>
      <c r="P93" s="41"/>
      <c r="Q93" s="41"/>
    </row>
    <row r="94" spans="1:17" ht="14.25" customHeight="1" x14ac:dyDescent="0.25">
      <c r="A94" s="16" t="s">
        <v>117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>
        <f t="shared" si="5"/>
        <v>0</v>
      </c>
      <c r="O94" s="41"/>
      <c r="P94" s="41"/>
      <c r="Q94" s="41"/>
    </row>
    <row r="95" spans="1:17" ht="14.25" customHeight="1" x14ac:dyDescent="0.25">
      <c r="A95" s="16" t="s">
        <v>118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>
        <f t="shared" si="5"/>
        <v>0</v>
      </c>
      <c r="O95" s="41"/>
      <c r="P95" s="41"/>
      <c r="Q95" s="41"/>
    </row>
    <row r="96" spans="1:17" ht="14.25" customHeight="1" x14ac:dyDescent="0.25">
      <c r="A96" s="16" t="s">
        <v>119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>
        <f t="shared" si="5"/>
        <v>0</v>
      </c>
      <c r="O96" s="41"/>
      <c r="P96" s="41"/>
      <c r="Q96" s="41"/>
    </row>
    <row r="97" spans="1:17" ht="14.25" customHeight="1" x14ac:dyDescent="0.25">
      <c r="A97" s="16" t="s">
        <v>120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>
        <f t="shared" si="5"/>
        <v>0</v>
      </c>
      <c r="O97" s="41"/>
      <c r="P97" s="41"/>
      <c r="Q97" s="41"/>
    </row>
    <row r="98" spans="1:17" s="104" customFormat="1" ht="14.25" customHeight="1" x14ac:dyDescent="0.25">
      <c r="A98" s="105" t="s">
        <v>121</v>
      </c>
      <c r="B98" s="118">
        <v>1500</v>
      </c>
      <c r="C98" s="118">
        <v>125</v>
      </c>
      <c r="D98" s="118">
        <v>2000</v>
      </c>
      <c r="E98" s="118">
        <v>320</v>
      </c>
      <c r="F98" s="118">
        <v>150</v>
      </c>
      <c r="G98" s="118">
        <v>150</v>
      </c>
      <c r="H98" s="118">
        <v>500</v>
      </c>
      <c r="I98" s="118">
        <v>550</v>
      </c>
      <c r="J98" s="118">
        <v>220</v>
      </c>
      <c r="K98" s="118">
        <v>135</v>
      </c>
      <c r="L98" s="118">
        <v>500</v>
      </c>
      <c r="M98" s="118">
        <v>2000</v>
      </c>
      <c r="N98" s="107">
        <f t="shared" si="5"/>
        <v>8150</v>
      </c>
      <c r="O98" s="112">
        <f>2259.92</f>
        <v>2259.92</v>
      </c>
      <c r="P98" s="112">
        <f>7300</f>
        <v>7300</v>
      </c>
      <c r="Q98" s="112">
        <f>N98-O98</f>
        <v>5890.08</v>
      </c>
    </row>
    <row r="99" spans="1:17" ht="14.25" customHeight="1" x14ac:dyDescent="0.25">
      <c r="A99" s="14" t="s">
        <v>122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>
        <f t="shared" si="5"/>
        <v>0</v>
      </c>
      <c r="O99" s="41"/>
      <c r="P99" s="41"/>
      <c r="Q99" s="41"/>
    </row>
    <row r="100" spans="1:17" ht="14.25" customHeight="1" x14ac:dyDescent="0.25">
      <c r="A100" s="16" t="s">
        <v>123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>
        <f t="shared" si="5"/>
        <v>0</v>
      </c>
      <c r="O100" s="41"/>
      <c r="P100" s="41"/>
      <c r="Q100" s="41"/>
    </row>
    <row r="101" spans="1:17" ht="14.25" customHeight="1" x14ac:dyDescent="0.25">
      <c r="A101" s="16" t="s">
        <v>124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>
        <f t="shared" si="5"/>
        <v>0</v>
      </c>
      <c r="O101" s="41"/>
      <c r="P101" s="41"/>
      <c r="Q101" s="41"/>
    </row>
    <row r="102" spans="1:17" ht="14.25" customHeight="1" x14ac:dyDescent="0.25">
      <c r="A102" s="16" t="s">
        <v>125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>
        <f t="shared" si="5"/>
        <v>0</v>
      </c>
      <c r="O102" s="41"/>
      <c r="P102" s="41"/>
      <c r="Q102" s="41"/>
    </row>
    <row r="103" spans="1:17" ht="14.25" customHeight="1" x14ac:dyDescent="0.25">
      <c r="A103" s="16" t="s">
        <v>126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>
        <f t="shared" si="5"/>
        <v>0</v>
      </c>
      <c r="O103" s="41"/>
      <c r="P103" s="41"/>
      <c r="Q103" s="41"/>
    </row>
    <row r="104" spans="1:17" ht="14.25" customHeight="1" x14ac:dyDescent="0.25">
      <c r="A104" s="16" t="s">
        <v>127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>
        <f t="shared" si="5"/>
        <v>0</v>
      </c>
      <c r="O104" s="41"/>
      <c r="P104" s="41"/>
      <c r="Q104" s="41"/>
    </row>
    <row r="105" spans="1:17" ht="14.25" customHeight="1" x14ac:dyDescent="0.25">
      <c r="A105" s="14" t="s">
        <v>128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>
        <f t="shared" si="5"/>
        <v>0</v>
      </c>
      <c r="O105" s="41"/>
      <c r="P105" s="41"/>
      <c r="Q105" s="41"/>
    </row>
    <row r="106" spans="1:17" ht="14.25" customHeight="1" x14ac:dyDescent="0.25">
      <c r="A106" s="16" t="s">
        <v>129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>
        <f t="shared" si="5"/>
        <v>0</v>
      </c>
      <c r="O106" s="41"/>
      <c r="P106" s="41"/>
      <c r="Q106" s="41"/>
    </row>
    <row r="107" spans="1:17" ht="14.25" customHeight="1" x14ac:dyDescent="0.25">
      <c r="A107" s="16" t="s">
        <v>130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>
        <f t="shared" si="5"/>
        <v>0</v>
      </c>
      <c r="O107" s="41"/>
      <c r="P107" s="41"/>
      <c r="Q107" s="41"/>
    </row>
    <row r="108" spans="1:17" ht="14.25" customHeight="1" x14ac:dyDescent="0.25">
      <c r="A108" s="16" t="s">
        <v>131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>
        <f t="shared" si="5"/>
        <v>0</v>
      </c>
      <c r="O108" s="41"/>
      <c r="P108" s="41"/>
      <c r="Q108" s="41"/>
    </row>
    <row r="109" spans="1:17" ht="14.25" customHeight="1" x14ac:dyDescent="0.25">
      <c r="A109" s="16" t="s">
        <v>132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>
        <f t="shared" si="5"/>
        <v>0</v>
      </c>
      <c r="O109" s="41"/>
      <c r="P109" s="41"/>
      <c r="Q109" s="41"/>
    </row>
    <row r="110" spans="1:17" ht="14.25" customHeight="1" x14ac:dyDescent="0.25">
      <c r="A110" s="16" t="s">
        <v>133</v>
      </c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>
        <f t="shared" si="5"/>
        <v>0</v>
      </c>
      <c r="O110" s="41"/>
      <c r="P110" s="41"/>
      <c r="Q110" s="41"/>
    </row>
    <row r="111" spans="1:17" ht="14.25" customHeight="1" x14ac:dyDescent="0.25">
      <c r="A111" s="16" t="s">
        <v>134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>
        <f t="shared" si="5"/>
        <v>0</v>
      </c>
      <c r="O111" s="41"/>
      <c r="P111" s="41"/>
      <c r="Q111" s="41"/>
    </row>
    <row r="112" spans="1:17" ht="14.25" customHeight="1" x14ac:dyDescent="0.25">
      <c r="A112" s="16" t="s">
        <v>135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>
        <f t="shared" si="5"/>
        <v>0</v>
      </c>
      <c r="O112" s="41"/>
      <c r="P112" s="41"/>
      <c r="Q112" s="41"/>
    </row>
    <row r="113" spans="1:17" ht="14.25" customHeight="1" x14ac:dyDescent="0.25">
      <c r="A113" s="16" t="s">
        <v>40</v>
      </c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>
        <f t="shared" si="5"/>
        <v>0</v>
      </c>
      <c r="O113" s="41"/>
      <c r="P113" s="41"/>
      <c r="Q113" s="41"/>
    </row>
    <row r="114" spans="1:17" ht="14.25" customHeight="1" x14ac:dyDescent="0.25">
      <c r="A114" s="16" t="s">
        <v>136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>
        <f t="shared" si="5"/>
        <v>0</v>
      </c>
      <c r="O114" s="41"/>
      <c r="P114" s="41"/>
      <c r="Q114" s="41"/>
    </row>
    <row r="115" spans="1:17" ht="14.25" customHeight="1" x14ac:dyDescent="0.25">
      <c r="A115" s="16" t="s">
        <v>137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>
        <f t="shared" si="5"/>
        <v>0</v>
      </c>
      <c r="O115" s="41"/>
      <c r="P115" s="41"/>
      <c r="Q115" s="41"/>
    </row>
    <row r="116" spans="1:17" ht="14.25" customHeight="1" x14ac:dyDescent="0.25">
      <c r="A116" s="14" t="s">
        <v>138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>
        <f t="shared" si="5"/>
        <v>0</v>
      </c>
      <c r="O116" s="41"/>
      <c r="P116" s="41"/>
      <c r="Q116" s="41"/>
    </row>
    <row r="117" spans="1:17" ht="14.25" customHeight="1" x14ac:dyDescent="0.25">
      <c r="A117" s="16" t="s">
        <v>139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>
        <f t="shared" si="5"/>
        <v>0</v>
      </c>
      <c r="O117" s="41"/>
      <c r="P117" s="41"/>
      <c r="Q117" s="41"/>
    </row>
    <row r="118" spans="1:17" ht="14.25" customHeight="1" x14ac:dyDescent="0.25">
      <c r="A118" s="16" t="s">
        <v>140</v>
      </c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>
        <f t="shared" si="5"/>
        <v>0</v>
      </c>
      <c r="O118" s="41"/>
      <c r="P118" s="41"/>
      <c r="Q118" s="41"/>
    </row>
    <row r="119" spans="1:17" ht="14.25" customHeight="1" x14ac:dyDescent="0.25">
      <c r="A119" s="16" t="s">
        <v>141</v>
      </c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>
        <f t="shared" si="5"/>
        <v>0</v>
      </c>
      <c r="O119" s="41"/>
      <c r="P119" s="41"/>
      <c r="Q119" s="41"/>
    </row>
    <row r="120" spans="1:17" ht="14.25" customHeight="1" x14ac:dyDescent="0.25">
      <c r="A120" s="16" t="s">
        <v>142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>
        <f t="shared" si="5"/>
        <v>0</v>
      </c>
      <c r="O120" s="41"/>
      <c r="P120" s="41"/>
      <c r="Q120" s="41"/>
    </row>
    <row r="121" spans="1:17" ht="14.25" customHeight="1" x14ac:dyDescent="0.25">
      <c r="A121" s="16" t="s">
        <v>143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>
        <f t="shared" si="5"/>
        <v>0</v>
      </c>
      <c r="O121" s="41"/>
      <c r="P121" s="41"/>
      <c r="Q121" s="41"/>
    </row>
    <row r="122" spans="1:17" ht="14.25" customHeight="1" x14ac:dyDescent="0.25">
      <c r="A122" s="16" t="s">
        <v>144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>
        <f t="shared" si="5"/>
        <v>0</v>
      </c>
      <c r="O122" s="41"/>
      <c r="P122" s="41"/>
      <c r="Q122" s="41"/>
    </row>
    <row r="123" spans="1:17" ht="14.25" customHeight="1" x14ac:dyDescent="0.25">
      <c r="A123" s="16" t="s">
        <v>145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>
        <f t="shared" si="5"/>
        <v>0</v>
      </c>
      <c r="O123" s="41"/>
      <c r="P123" s="41"/>
      <c r="Q123" s="41"/>
    </row>
    <row r="124" spans="1:17" ht="14.25" customHeight="1" x14ac:dyDescent="0.25">
      <c r="A124" s="16" t="s">
        <v>146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>
        <f t="shared" si="5"/>
        <v>0</v>
      </c>
      <c r="O124" s="41"/>
      <c r="P124" s="41"/>
      <c r="Q124" s="41"/>
    </row>
    <row r="125" spans="1:17" ht="14.25" customHeight="1" x14ac:dyDescent="0.25">
      <c r="A125" s="16" t="s">
        <v>147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>
        <f t="shared" si="5"/>
        <v>0</v>
      </c>
      <c r="O125" s="41"/>
      <c r="P125" s="41"/>
      <c r="Q125" s="41"/>
    </row>
    <row r="126" spans="1:17" ht="14.25" customHeight="1" x14ac:dyDescent="0.25">
      <c r="A126" s="16" t="s">
        <v>148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>
        <f t="shared" si="5"/>
        <v>0</v>
      </c>
      <c r="O126" s="41"/>
      <c r="P126" s="41"/>
      <c r="Q126" s="41"/>
    </row>
    <row r="127" spans="1:17" ht="14.25" customHeight="1" x14ac:dyDescent="0.25">
      <c r="A127" s="16" t="s">
        <v>149</v>
      </c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41"/>
      <c r="P127" s="41"/>
      <c r="Q127" s="41"/>
    </row>
    <row r="128" spans="1:17" ht="14.25" customHeight="1" x14ac:dyDescent="0.25">
      <c r="A128" s="16" t="s">
        <v>150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>
        <f t="shared" ref="N128:N129" si="6">SUM(B128:M128)</f>
        <v>0</v>
      </c>
      <c r="O128" s="41"/>
      <c r="P128" s="41"/>
      <c r="Q128" s="41"/>
    </row>
    <row r="129" spans="1:17" ht="14.25" customHeight="1" x14ac:dyDescent="0.25">
      <c r="A129" s="16" t="s">
        <v>151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>
        <f t="shared" si="6"/>
        <v>0</v>
      </c>
      <c r="O129" s="41"/>
      <c r="P129" s="41"/>
      <c r="Q129" s="41"/>
    </row>
    <row r="130" spans="1:17" s="39" customFormat="1" ht="14.25" customHeight="1" x14ac:dyDescent="0.25">
      <c r="A130" s="30" t="s">
        <v>168</v>
      </c>
      <c r="B130" s="31">
        <f>B20+B21+B22+B23+B24</f>
        <v>114729.32</v>
      </c>
      <c r="C130" s="31">
        <f t="shared" ref="C130:P130" si="7">C20+C21+C22+C23+C24</f>
        <v>87248.44</v>
      </c>
      <c r="D130" s="31">
        <f t="shared" si="7"/>
        <v>99299.574840000001</v>
      </c>
      <c r="E130" s="31">
        <f t="shared" si="7"/>
        <v>69980.718059999999</v>
      </c>
      <c r="F130" s="31">
        <f t="shared" si="7"/>
        <v>69979.746769999998</v>
      </c>
      <c r="G130" s="31">
        <f t="shared" si="7"/>
        <v>76475.064190000005</v>
      </c>
      <c r="H130" s="31">
        <f t="shared" si="7"/>
        <v>87987.511999999988</v>
      </c>
      <c r="I130" s="31">
        <f t="shared" si="7"/>
        <v>70171.431940000009</v>
      </c>
      <c r="J130" s="31">
        <f t="shared" si="7"/>
        <v>84691.334520000004</v>
      </c>
      <c r="K130" s="31">
        <f t="shared" si="7"/>
        <v>82281.05</v>
      </c>
      <c r="L130" s="31">
        <f t="shared" si="7"/>
        <v>71487.95968</v>
      </c>
      <c r="M130" s="31">
        <f t="shared" si="7"/>
        <v>71484.2929</v>
      </c>
      <c r="N130" s="31">
        <f t="shared" si="7"/>
        <v>985816.4449</v>
      </c>
      <c r="O130" s="31">
        <f t="shared" si="7"/>
        <v>965855.3</v>
      </c>
      <c r="P130" s="31">
        <f t="shared" si="7"/>
        <v>940772</v>
      </c>
      <c r="Q130" s="40"/>
    </row>
    <row r="131" spans="1:17" s="39" customFormat="1" ht="14.25" customHeight="1" x14ac:dyDescent="0.25">
      <c r="A131" s="30" t="s">
        <v>210</v>
      </c>
      <c r="B131" s="31">
        <f>B70+B91+B98</f>
        <v>19238</v>
      </c>
      <c r="C131" s="31">
        <f t="shared" ref="C131:P131" si="8">C70+C91+C98</f>
        <v>17863</v>
      </c>
      <c r="D131" s="31">
        <f t="shared" si="8"/>
        <v>19738</v>
      </c>
      <c r="E131" s="31">
        <f t="shared" si="8"/>
        <v>18058</v>
      </c>
      <c r="F131" s="31">
        <f t="shared" si="8"/>
        <v>17888</v>
      </c>
      <c r="G131" s="31">
        <f t="shared" si="8"/>
        <v>17888</v>
      </c>
      <c r="H131" s="31">
        <f t="shared" si="8"/>
        <v>18238</v>
      </c>
      <c r="I131" s="31">
        <f t="shared" si="8"/>
        <v>18288</v>
      </c>
      <c r="J131" s="31">
        <f t="shared" si="8"/>
        <v>17958</v>
      </c>
      <c r="K131" s="31">
        <f t="shared" si="8"/>
        <v>17873</v>
      </c>
      <c r="L131" s="31">
        <f t="shared" si="8"/>
        <v>18238</v>
      </c>
      <c r="M131" s="31">
        <f t="shared" si="8"/>
        <v>19739</v>
      </c>
      <c r="N131" s="31">
        <f t="shared" si="8"/>
        <v>221007</v>
      </c>
      <c r="O131" s="31">
        <f t="shared" si="8"/>
        <v>181429.22</v>
      </c>
      <c r="P131" s="31">
        <f t="shared" si="8"/>
        <v>206160.03</v>
      </c>
      <c r="Q131" s="40"/>
    </row>
    <row r="132" spans="1:17" ht="14.25" customHeight="1" x14ac:dyDescent="0.25">
      <c r="A132" s="45" t="s">
        <v>172</v>
      </c>
      <c r="B132" s="31">
        <f>B130-B131</f>
        <v>95491.32</v>
      </c>
      <c r="C132" s="31">
        <f t="shared" ref="C132:N132" si="9">C130-C131</f>
        <v>69385.440000000002</v>
      </c>
      <c r="D132" s="31">
        <f t="shared" si="9"/>
        <v>79561.574840000001</v>
      </c>
      <c r="E132" s="31">
        <f t="shared" si="9"/>
        <v>51922.718059999999</v>
      </c>
      <c r="F132" s="31">
        <f t="shared" si="9"/>
        <v>52091.746769999998</v>
      </c>
      <c r="G132" s="31">
        <f t="shared" si="9"/>
        <v>58587.064190000005</v>
      </c>
      <c r="H132" s="31">
        <f t="shared" si="9"/>
        <v>69749.511999999988</v>
      </c>
      <c r="I132" s="31">
        <f t="shared" si="9"/>
        <v>51883.431940000009</v>
      </c>
      <c r="J132" s="31">
        <f t="shared" si="9"/>
        <v>66733.334520000004</v>
      </c>
      <c r="K132" s="31">
        <f t="shared" si="9"/>
        <v>64408.05</v>
      </c>
      <c r="L132" s="31">
        <f t="shared" si="9"/>
        <v>53249.95968</v>
      </c>
      <c r="M132" s="31">
        <f t="shared" si="9"/>
        <v>51745.2929</v>
      </c>
      <c r="N132" s="31">
        <f t="shared" si="9"/>
        <v>764809.4449</v>
      </c>
      <c r="O132" s="31">
        <f t="shared" ref="O132:P132" si="10">(O20+O21+O22+O23+O24)-(O70+O91+O98)</f>
        <v>784426.08000000007</v>
      </c>
      <c r="P132" s="31">
        <f t="shared" si="10"/>
        <v>734611.97</v>
      </c>
      <c r="Q132" s="40">
        <f>N132-O132</f>
        <v>-19616.635100000072</v>
      </c>
    </row>
    <row r="133" spans="1:17" ht="14.25" customHeight="1" x14ac:dyDescent="0.25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41"/>
      <c r="P133" s="41"/>
      <c r="Q133" s="41"/>
    </row>
    <row r="134" spans="1:17" ht="14.25" customHeight="1" x14ac:dyDescent="0.25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41"/>
      <c r="P134" s="41"/>
      <c r="Q134" s="41"/>
    </row>
    <row r="135" spans="1:17" ht="14.25" customHeight="1" x14ac:dyDescent="0.25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41"/>
      <c r="P135" s="41"/>
      <c r="Q135" s="41"/>
    </row>
    <row r="136" spans="1:17" ht="14.25" customHeight="1" x14ac:dyDescent="0.25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41"/>
      <c r="P136" s="41"/>
      <c r="Q136" s="41"/>
    </row>
    <row r="137" spans="1:17" ht="14.25" customHeight="1" x14ac:dyDescent="0.25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41"/>
      <c r="P137" s="41"/>
      <c r="Q137" s="41"/>
    </row>
    <row r="138" spans="1:17" ht="14.25" customHeight="1" x14ac:dyDescent="0.25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</row>
    <row r="139" spans="1:17" ht="14.25" customHeight="1" x14ac:dyDescent="0.25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</row>
    <row r="140" spans="1:17" ht="14.25" customHeight="1" x14ac:dyDescent="0.25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</row>
    <row r="141" spans="1:17" ht="14.25" customHeight="1" x14ac:dyDescent="0.25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</row>
    <row r="142" spans="1:17" ht="14.25" customHeight="1" x14ac:dyDescent="0.25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</row>
    <row r="143" spans="1:17" ht="14.25" customHeight="1" x14ac:dyDescent="0.25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</row>
    <row r="144" spans="1:17" ht="14.25" customHeight="1" x14ac:dyDescent="0.25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</row>
    <row r="145" spans="2:14" ht="14.25" customHeight="1" x14ac:dyDescent="0.25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</row>
    <row r="146" spans="2:14" ht="14.25" customHeight="1" x14ac:dyDescent="0.25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</row>
    <row r="147" spans="2:14" ht="14.25" customHeight="1" x14ac:dyDescent="0.25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</row>
    <row r="148" spans="2:14" ht="14.25" customHeight="1" x14ac:dyDescent="0.25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</row>
    <row r="149" spans="2:14" ht="14.25" customHeight="1" x14ac:dyDescent="0.25"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</row>
    <row r="150" spans="2:14" ht="14.25" customHeight="1" x14ac:dyDescent="0.25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</row>
    <row r="151" spans="2:14" ht="14.25" customHeight="1" x14ac:dyDescent="0.25"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</row>
    <row r="152" spans="2:14" ht="14.25" customHeight="1" x14ac:dyDescent="0.25"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</row>
    <row r="153" spans="2:14" ht="14.25" customHeight="1" x14ac:dyDescent="0.25"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</row>
    <row r="154" spans="2:14" ht="14.25" customHeight="1" x14ac:dyDescent="0.25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</row>
    <row r="155" spans="2:14" ht="14.25" customHeight="1" x14ac:dyDescent="0.25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</row>
    <row r="156" spans="2:14" ht="14.25" customHeight="1" x14ac:dyDescent="0.25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</row>
    <row r="157" spans="2:14" ht="14.25" customHeight="1" x14ac:dyDescent="0.25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</row>
    <row r="158" spans="2:14" ht="14.25" customHeight="1" x14ac:dyDescent="0.25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</row>
    <row r="159" spans="2:14" ht="14.25" customHeight="1" x14ac:dyDescent="0.25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</row>
    <row r="160" spans="2:14" ht="14.25" customHeight="1" x14ac:dyDescent="0.25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</row>
    <row r="161" spans="2:14" ht="14.25" customHeight="1" x14ac:dyDescent="0.25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</row>
    <row r="162" spans="2:14" ht="14.25" customHeight="1" x14ac:dyDescent="0.25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</row>
    <row r="163" spans="2:14" ht="14.25" customHeight="1" x14ac:dyDescent="0.25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</row>
    <row r="164" spans="2:14" ht="14.25" customHeight="1" x14ac:dyDescent="0.25"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</row>
    <row r="165" spans="2:14" ht="14.25" customHeight="1" x14ac:dyDescent="0.25"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</row>
    <row r="166" spans="2:14" ht="14.25" customHeight="1" x14ac:dyDescent="0.25"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</row>
    <row r="167" spans="2:14" ht="14.25" customHeight="1" x14ac:dyDescent="0.25"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</row>
    <row r="168" spans="2:14" ht="14.25" customHeight="1" x14ac:dyDescent="0.25"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</row>
    <row r="169" spans="2:14" ht="14.25" customHeight="1" x14ac:dyDescent="0.25"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</row>
    <row r="170" spans="2:14" ht="14.25" customHeight="1" x14ac:dyDescent="0.25"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</row>
    <row r="171" spans="2:14" ht="14.25" customHeight="1" x14ac:dyDescent="0.25"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</row>
    <row r="172" spans="2:14" ht="14.25" customHeight="1" x14ac:dyDescent="0.25"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</row>
    <row r="173" spans="2:14" ht="14.25" customHeight="1" x14ac:dyDescent="0.25"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</row>
    <row r="174" spans="2:14" ht="14.25" customHeight="1" x14ac:dyDescent="0.25"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</row>
    <row r="175" spans="2:14" ht="14.25" customHeight="1" x14ac:dyDescent="0.25"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</row>
    <row r="176" spans="2:14" ht="14.25" customHeight="1" x14ac:dyDescent="0.25"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</row>
    <row r="177" spans="2:14" ht="14.25" customHeight="1" x14ac:dyDescent="0.25"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</row>
    <row r="178" spans="2:14" ht="14.25" customHeight="1" x14ac:dyDescent="0.25"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</row>
    <row r="179" spans="2:14" ht="14.25" customHeight="1" x14ac:dyDescent="0.25"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</row>
    <row r="180" spans="2:14" ht="14.25" customHeight="1" x14ac:dyDescent="0.25"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</row>
    <row r="181" spans="2:14" ht="14.25" customHeight="1" x14ac:dyDescent="0.25"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</row>
    <row r="182" spans="2:14" ht="14.25" customHeight="1" x14ac:dyDescent="0.25"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</row>
    <row r="183" spans="2:14" ht="14.25" customHeight="1" x14ac:dyDescent="0.25"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</row>
    <row r="184" spans="2:14" ht="14.25" customHeight="1" x14ac:dyDescent="0.25"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</row>
    <row r="185" spans="2:14" ht="14.25" customHeight="1" x14ac:dyDescent="0.25"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</row>
    <row r="186" spans="2:14" ht="14.25" customHeight="1" x14ac:dyDescent="0.25"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</row>
    <row r="187" spans="2:14" ht="14.25" customHeight="1" x14ac:dyDescent="0.25"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</row>
    <row r="188" spans="2:14" ht="14.25" customHeight="1" x14ac:dyDescent="0.25"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</row>
    <row r="189" spans="2:14" ht="14.25" customHeight="1" x14ac:dyDescent="0.25"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</row>
    <row r="190" spans="2:14" ht="14.25" customHeight="1" x14ac:dyDescent="0.25"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</row>
    <row r="191" spans="2:14" ht="14.25" customHeight="1" x14ac:dyDescent="0.25"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</row>
    <row r="192" spans="2:14" ht="14.25" customHeight="1" x14ac:dyDescent="0.25"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</row>
    <row r="193" spans="2:14" ht="14.25" customHeight="1" x14ac:dyDescent="0.25"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</row>
    <row r="194" spans="2:14" ht="14.25" customHeight="1" x14ac:dyDescent="0.25"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</row>
    <row r="195" spans="2:14" ht="14.25" customHeight="1" x14ac:dyDescent="0.25"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</row>
    <row r="196" spans="2:14" ht="14.25" customHeight="1" x14ac:dyDescent="0.25"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</row>
    <row r="197" spans="2:14" ht="14.25" customHeight="1" x14ac:dyDescent="0.25"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</row>
    <row r="198" spans="2:14" ht="14.25" customHeight="1" x14ac:dyDescent="0.25"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</row>
    <row r="199" spans="2:14" ht="14.25" customHeight="1" x14ac:dyDescent="0.25"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</row>
    <row r="200" spans="2:14" ht="14.25" customHeight="1" x14ac:dyDescent="0.25"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</row>
    <row r="201" spans="2:14" ht="14.25" customHeight="1" x14ac:dyDescent="0.25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</row>
    <row r="202" spans="2:14" ht="14.25" customHeight="1" x14ac:dyDescent="0.25"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</row>
    <row r="203" spans="2:14" ht="14.25" customHeight="1" x14ac:dyDescent="0.25"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</row>
    <row r="204" spans="2:14" ht="14.25" customHeight="1" x14ac:dyDescent="0.25"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</row>
    <row r="205" spans="2:14" ht="14.25" customHeight="1" x14ac:dyDescent="0.25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</row>
    <row r="206" spans="2:14" ht="14.25" customHeight="1" x14ac:dyDescent="0.25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</row>
    <row r="207" spans="2:14" ht="14.25" customHeight="1" x14ac:dyDescent="0.25"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</row>
    <row r="208" spans="2:14" ht="14.25" customHeight="1" x14ac:dyDescent="0.25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</row>
    <row r="209" spans="2:14" ht="14.25" customHeight="1" x14ac:dyDescent="0.25"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</row>
    <row r="210" spans="2:14" ht="14.25" customHeight="1" x14ac:dyDescent="0.25"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</row>
    <row r="211" spans="2:14" ht="14.25" customHeight="1" x14ac:dyDescent="0.25"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</row>
    <row r="212" spans="2:14" ht="14.25" customHeight="1" x14ac:dyDescent="0.25"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</row>
    <row r="213" spans="2:14" ht="14.25" customHeight="1" x14ac:dyDescent="0.25"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</row>
    <row r="214" spans="2:14" ht="14.25" customHeight="1" x14ac:dyDescent="0.25"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</row>
    <row r="215" spans="2:14" ht="14.25" customHeight="1" x14ac:dyDescent="0.25"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</row>
    <row r="216" spans="2:14" ht="14.25" customHeight="1" x14ac:dyDescent="0.25"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</row>
    <row r="217" spans="2:14" ht="14.25" customHeight="1" x14ac:dyDescent="0.25"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</row>
    <row r="218" spans="2:14" ht="14.25" customHeight="1" x14ac:dyDescent="0.25"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</row>
    <row r="219" spans="2:14" ht="14.25" customHeight="1" x14ac:dyDescent="0.25"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</row>
    <row r="220" spans="2:14" ht="14.25" customHeight="1" x14ac:dyDescent="0.25"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</row>
    <row r="221" spans="2:14" ht="14.25" customHeight="1" x14ac:dyDescent="0.25"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</row>
    <row r="222" spans="2:14" ht="14.25" customHeight="1" x14ac:dyDescent="0.25"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</row>
    <row r="223" spans="2:14" ht="14.25" customHeight="1" x14ac:dyDescent="0.25"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</row>
    <row r="224" spans="2:14" ht="14.25" customHeight="1" x14ac:dyDescent="0.25"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</row>
    <row r="225" spans="2:14" ht="14.25" customHeight="1" x14ac:dyDescent="0.25"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</row>
    <row r="226" spans="2:14" ht="14.25" customHeight="1" x14ac:dyDescent="0.25"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</row>
    <row r="227" spans="2:14" ht="14.25" customHeight="1" x14ac:dyDescent="0.25"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</row>
    <row r="228" spans="2:14" ht="14.25" customHeight="1" x14ac:dyDescent="0.25"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</row>
    <row r="229" spans="2:14" ht="14.25" customHeight="1" x14ac:dyDescent="0.25"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</row>
    <row r="230" spans="2:14" ht="14.25" customHeight="1" x14ac:dyDescent="0.25"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</row>
    <row r="231" spans="2:14" ht="14.25" customHeight="1" x14ac:dyDescent="0.25"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</row>
    <row r="232" spans="2:14" ht="14.25" customHeight="1" x14ac:dyDescent="0.25"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</row>
    <row r="233" spans="2:14" ht="14.25" customHeight="1" x14ac:dyDescent="0.25"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</row>
    <row r="234" spans="2:14" ht="14.25" customHeight="1" x14ac:dyDescent="0.25"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</row>
    <row r="235" spans="2:14" ht="14.25" customHeight="1" x14ac:dyDescent="0.25"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</row>
    <row r="236" spans="2:14" ht="14.25" customHeight="1" x14ac:dyDescent="0.25"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</row>
    <row r="237" spans="2:14" ht="14.25" customHeight="1" x14ac:dyDescent="0.25"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</row>
    <row r="238" spans="2:14" ht="14.25" customHeight="1" x14ac:dyDescent="0.25"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</row>
    <row r="239" spans="2:14" ht="14.25" customHeight="1" x14ac:dyDescent="0.25"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</row>
    <row r="240" spans="2:14" ht="14.25" customHeight="1" x14ac:dyDescent="0.25"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</row>
    <row r="241" spans="2:14" ht="14.25" customHeight="1" x14ac:dyDescent="0.25"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</row>
    <row r="242" spans="2:14" ht="14.25" customHeight="1" x14ac:dyDescent="0.25"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</row>
    <row r="243" spans="2:14" ht="14.25" customHeight="1" x14ac:dyDescent="0.25"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</row>
    <row r="244" spans="2:14" ht="14.25" customHeight="1" x14ac:dyDescent="0.25"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</row>
    <row r="245" spans="2:14" ht="14.25" customHeight="1" x14ac:dyDescent="0.25"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</row>
    <row r="246" spans="2:14" ht="14.25" customHeight="1" x14ac:dyDescent="0.25"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</row>
    <row r="247" spans="2:14" ht="14.25" customHeight="1" x14ac:dyDescent="0.25"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</row>
    <row r="248" spans="2:14" ht="14.25" customHeight="1" x14ac:dyDescent="0.25"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</row>
    <row r="249" spans="2:14" ht="14.25" customHeight="1" x14ac:dyDescent="0.25"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</row>
    <row r="250" spans="2:14" ht="14.25" customHeight="1" x14ac:dyDescent="0.25"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</row>
    <row r="251" spans="2:14" ht="14.25" customHeight="1" x14ac:dyDescent="0.25"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</row>
    <row r="252" spans="2:14" ht="14.25" customHeight="1" x14ac:dyDescent="0.25"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</row>
    <row r="253" spans="2:14" ht="14.25" customHeight="1" x14ac:dyDescent="0.25"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</row>
    <row r="254" spans="2:14" ht="14.25" customHeight="1" x14ac:dyDescent="0.25"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</row>
    <row r="255" spans="2:14" ht="14.25" customHeight="1" x14ac:dyDescent="0.25"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</row>
    <row r="256" spans="2:14" ht="14.25" customHeight="1" x14ac:dyDescent="0.25"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</row>
    <row r="257" spans="2:14" ht="14.25" customHeight="1" x14ac:dyDescent="0.25"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</row>
    <row r="258" spans="2:14" ht="14.25" customHeight="1" x14ac:dyDescent="0.25"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</row>
    <row r="259" spans="2:14" ht="14.25" customHeight="1" x14ac:dyDescent="0.25"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</row>
    <row r="260" spans="2:14" ht="14.25" customHeight="1" x14ac:dyDescent="0.25"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</row>
    <row r="261" spans="2:14" ht="14.25" customHeight="1" x14ac:dyDescent="0.25"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</row>
    <row r="262" spans="2:14" ht="14.25" customHeight="1" x14ac:dyDescent="0.25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</row>
    <row r="263" spans="2:14" ht="14.25" customHeight="1" x14ac:dyDescent="0.25"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</row>
    <row r="264" spans="2:14" ht="14.25" customHeight="1" x14ac:dyDescent="0.25"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</row>
    <row r="265" spans="2:14" ht="14.25" customHeight="1" x14ac:dyDescent="0.25"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</row>
    <row r="266" spans="2:14" ht="14.25" customHeight="1" x14ac:dyDescent="0.25"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</row>
    <row r="267" spans="2:14" ht="14.25" customHeight="1" x14ac:dyDescent="0.25"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</row>
    <row r="268" spans="2:14" ht="14.25" customHeight="1" x14ac:dyDescent="0.25"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</row>
    <row r="269" spans="2:14" ht="14.25" customHeight="1" x14ac:dyDescent="0.25"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</row>
    <row r="270" spans="2:14" ht="14.25" customHeight="1" x14ac:dyDescent="0.25"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</row>
    <row r="271" spans="2:14" ht="14.25" customHeight="1" x14ac:dyDescent="0.25"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</row>
    <row r="272" spans="2:14" ht="14.25" customHeight="1" x14ac:dyDescent="0.25"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</row>
    <row r="273" spans="2:14" ht="14.25" customHeight="1" x14ac:dyDescent="0.25"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</row>
    <row r="274" spans="2:14" ht="14.25" customHeight="1" x14ac:dyDescent="0.25"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</row>
    <row r="275" spans="2:14" ht="14.25" customHeight="1" x14ac:dyDescent="0.25"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</row>
    <row r="276" spans="2:14" ht="14.25" customHeight="1" x14ac:dyDescent="0.25"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</row>
    <row r="277" spans="2:14" ht="14.25" customHeight="1" x14ac:dyDescent="0.25"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</row>
    <row r="278" spans="2:14" ht="14.25" customHeight="1" x14ac:dyDescent="0.25"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</row>
    <row r="279" spans="2:14" ht="14.25" customHeight="1" x14ac:dyDescent="0.25"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</row>
    <row r="280" spans="2:14" ht="14.25" customHeight="1" x14ac:dyDescent="0.25"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</row>
    <row r="281" spans="2:14" ht="14.25" customHeight="1" x14ac:dyDescent="0.25"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</row>
    <row r="282" spans="2:14" ht="14.25" customHeight="1" x14ac:dyDescent="0.25"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</row>
    <row r="283" spans="2:14" ht="14.25" customHeight="1" x14ac:dyDescent="0.25"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</row>
    <row r="284" spans="2:14" ht="14.25" customHeight="1" x14ac:dyDescent="0.25"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</row>
    <row r="285" spans="2:14" ht="14.25" customHeight="1" x14ac:dyDescent="0.25"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</row>
    <row r="286" spans="2:14" ht="14.25" customHeight="1" x14ac:dyDescent="0.25"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</row>
    <row r="287" spans="2:14" ht="14.25" customHeight="1" x14ac:dyDescent="0.25"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</row>
    <row r="288" spans="2:14" ht="14.25" customHeight="1" x14ac:dyDescent="0.25"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</row>
    <row r="289" spans="2:14" ht="14.25" customHeight="1" x14ac:dyDescent="0.25"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</row>
    <row r="290" spans="2:14" ht="14.25" customHeight="1" x14ac:dyDescent="0.25"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</row>
    <row r="291" spans="2:14" ht="14.25" customHeight="1" x14ac:dyDescent="0.25"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</row>
    <row r="292" spans="2:14" ht="14.25" customHeight="1" x14ac:dyDescent="0.25"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</row>
    <row r="293" spans="2:14" ht="14.25" customHeight="1" x14ac:dyDescent="0.25"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</row>
    <row r="294" spans="2:14" ht="14.25" customHeight="1" x14ac:dyDescent="0.25"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</row>
    <row r="295" spans="2:14" ht="14.25" customHeight="1" x14ac:dyDescent="0.25"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</row>
    <row r="296" spans="2:14" ht="14.25" customHeight="1" x14ac:dyDescent="0.25"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</row>
    <row r="297" spans="2:14" ht="14.25" customHeight="1" x14ac:dyDescent="0.25"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</row>
    <row r="298" spans="2:14" ht="14.25" customHeight="1" x14ac:dyDescent="0.25"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</row>
    <row r="299" spans="2:14" ht="14.25" customHeight="1" x14ac:dyDescent="0.25"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</row>
    <row r="300" spans="2:14" ht="14.25" customHeight="1" x14ac:dyDescent="0.25"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</row>
    <row r="301" spans="2:14" ht="14.25" customHeight="1" x14ac:dyDescent="0.25"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</row>
    <row r="302" spans="2:14" ht="14.25" customHeight="1" x14ac:dyDescent="0.25"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</row>
    <row r="303" spans="2:14" ht="14.25" customHeight="1" x14ac:dyDescent="0.25"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</row>
    <row r="304" spans="2:14" ht="14.25" customHeight="1" x14ac:dyDescent="0.25"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</row>
    <row r="305" spans="2:14" ht="14.25" customHeight="1" x14ac:dyDescent="0.25"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</row>
    <row r="306" spans="2:14" ht="14.25" customHeight="1" x14ac:dyDescent="0.25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</row>
    <row r="307" spans="2:14" ht="14.25" customHeight="1" x14ac:dyDescent="0.25"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</row>
    <row r="308" spans="2:14" ht="14.25" customHeight="1" x14ac:dyDescent="0.25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</row>
    <row r="309" spans="2:14" ht="14.25" customHeight="1" x14ac:dyDescent="0.25"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</row>
    <row r="310" spans="2:14" ht="14.25" customHeight="1" x14ac:dyDescent="0.25"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</row>
    <row r="311" spans="2:14" ht="14.25" customHeight="1" x14ac:dyDescent="0.25"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</row>
    <row r="312" spans="2:14" ht="14.25" customHeight="1" x14ac:dyDescent="0.25"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</row>
    <row r="313" spans="2:14" ht="14.25" customHeight="1" x14ac:dyDescent="0.25"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</row>
    <row r="314" spans="2:14" ht="14.25" customHeight="1" x14ac:dyDescent="0.25"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</row>
    <row r="315" spans="2:14" ht="14.25" customHeight="1" x14ac:dyDescent="0.25"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</row>
    <row r="316" spans="2:14" ht="14.25" customHeight="1" x14ac:dyDescent="0.25"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</row>
    <row r="317" spans="2:14" ht="14.25" customHeight="1" x14ac:dyDescent="0.25"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</row>
    <row r="318" spans="2:14" ht="14.25" customHeight="1" x14ac:dyDescent="0.25"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</row>
    <row r="319" spans="2:14" ht="14.25" customHeight="1" x14ac:dyDescent="0.25"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</row>
    <row r="320" spans="2:14" ht="14.25" customHeight="1" x14ac:dyDescent="0.25"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</row>
    <row r="321" spans="2:14" ht="14.25" customHeight="1" x14ac:dyDescent="0.25"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</row>
    <row r="322" spans="2:14" ht="14.25" customHeight="1" x14ac:dyDescent="0.25"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</row>
    <row r="323" spans="2:14" ht="14.25" customHeight="1" x14ac:dyDescent="0.25"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</row>
    <row r="324" spans="2:14" ht="14.25" customHeight="1" x14ac:dyDescent="0.25"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</row>
    <row r="325" spans="2:14" ht="14.25" customHeight="1" x14ac:dyDescent="0.25"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</row>
    <row r="326" spans="2:14" ht="14.25" customHeight="1" x14ac:dyDescent="0.25"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</row>
    <row r="327" spans="2:14" ht="14.25" customHeight="1" x14ac:dyDescent="0.25"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</row>
    <row r="328" spans="2:14" ht="14.25" customHeight="1" x14ac:dyDescent="0.25"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</row>
    <row r="329" spans="2:14" ht="14.25" customHeight="1" x14ac:dyDescent="0.25"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</row>
    <row r="330" spans="2:14" ht="14.25" customHeight="1" x14ac:dyDescent="0.25"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</row>
    <row r="331" spans="2:14" ht="14.25" customHeight="1" x14ac:dyDescent="0.25"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</row>
    <row r="332" spans="2:14" ht="14.25" customHeight="1" x14ac:dyDescent="0.25"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</row>
    <row r="333" spans="2:14" ht="14.25" customHeight="1" x14ac:dyDescent="0.25"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</row>
    <row r="334" spans="2:14" ht="14.25" customHeight="1" x14ac:dyDescent="0.25"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</row>
    <row r="335" spans="2:14" ht="14.25" customHeight="1" x14ac:dyDescent="0.25"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</row>
    <row r="336" spans="2:14" ht="14.25" customHeight="1" x14ac:dyDescent="0.25"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</row>
    <row r="337" spans="2:14" ht="14.25" customHeight="1" x14ac:dyDescent="0.25"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</row>
    <row r="338" spans="2:14" ht="14.25" customHeight="1" x14ac:dyDescent="0.25"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</row>
    <row r="339" spans="2:14" ht="14.25" customHeight="1" x14ac:dyDescent="0.25"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</row>
    <row r="340" spans="2:14" ht="14.25" customHeight="1" x14ac:dyDescent="0.25"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</row>
    <row r="341" spans="2:14" ht="14.25" customHeight="1" x14ac:dyDescent="0.25"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</row>
    <row r="342" spans="2:14" ht="14.25" customHeight="1" x14ac:dyDescent="0.25"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</row>
    <row r="343" spans="2:14" ht="14.25" customHeight="1" x14ac:dyDescent="0.25"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</row>
    <row r="344" spans="2:14" ht="14.25" customHeight="1" x14ac:dyDescent="0.25"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</row>
    <row r="345" spans="2:14" ht="14.25" customHeight="1" x14ac:dyDescent="0.25"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</row>
    <row r="346" spans="2:14" ht="14.25" customHeight="1" x14ac:dyDescent="0.25"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</row>
    <row r="347" spans="2:14" ht="14.25" customHeight="1" x14ac:dyDescent="0.25"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</row>
    <row r="348" spans="2:14" ht="14.25" customHeight="1" x14ac:dyDescent="0.25"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</row>
    <row r="349" spans="2:14" ht="14.25" customHeight="1" x14ac:dyDescent="0.25"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</row>
    <row r="350" spans="2:14" ht="14.25" customHeight="1" x14ac:dyDescent="0.25"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</row>
    <row r="351" spans="2:14" ht="14.25" customHeight="1" x14ac:dyDescent="0.25"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</row>
    <row r="352" spans="2:14" ht="14.25" customHeight="1" x14ac:dyDescent="0.25"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</row>
    <row r="353" spans="2:14" ht="14.25" customHeight="1" x14ac:dyDescent="0.25"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</row>
    <row r="354" spans="2:14" ht="14.25" customHeight="1" x14ac:dyDescent="0.25"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</row>
    <row r="355" spans="2:14" ht="14.25" customHeight="1" x14ac:dyDescent="0.25"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</row>
    <row r="356" spans="2:14" ht="14.25" customHeight="1" x14ac:dyDescent="0.25"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</row>
    <row r="357" spans="2:14" ht="14.25" customHeight="1" x14ac:dyDescent="0.25"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</row>
    <row r="358" spans="2:14" ht="14.25" customHeight="1" x14ac:dyDescent="0.25"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</row>
    <row r="359" spans="2:14" ht="14.25" customHeight="1" x14ac:dyDescent="0.25"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</row>
    <row r="360" spans="2:14" ht="14.25" customHeight="1" x14ac:dyDescent="0.25"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</row>
    <row r="361" spans="2:14" ht="14.25" customHeight="1" x14ac:dyDescent="0.25"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</row>
    <row r="362" spans="2:14" ht="14.25" customHeight="1" x14ac:dyDescent="0.25"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</row>
    <row r="363" spans="2:14" ht="14.25" customHeight="1" x14ac:dyDescent="0.25"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</row>
    <row r="364" spans="2:14" ht="14.25" customHeight="1" x14ac:dyDescent="0.25"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</row>
    <row r="365" spans="2:14" ht="14.25" customHeight="1" x14ac:dyDescent="0.25"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</row>
    <row r="366" spans="2:14" ht="14.25" customHeight="1" x14ac:dyDescent="0.25"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</row>
    <row r="367" spans="2:14" ht="14.25" customHeight="1" x14ac:dyDescent="0.25"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</row>
    <row r="368" spans="2:14" ht="14.25" customHeight="1" x14ac:dyDescent="0.25"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</row>
    <row r="369" spans="2:14" ht="14.25" customHeight="1" x14ac:dyDescent="0.25"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</row>
    <row r="370" spans="2:14" ht="14.25" customHeight="1" x14ac:dyDescent="0.25"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</row>
    <row r="371" spans="2:14" ht="14.25" customHeight="1" x14ac:dyDescent="0.25"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</row>
    <row r="372" spans="2:14" ht="14.25" customHeight="1" x14ac:dyDescent="0.25"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</row>
    <row r="373" spans="2:14" ht="14.25" customHeight="1" x14ac:dyDescent="0.25"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</row>
    <row r="374" spans="2:14" ht="14.25" customHeight="1" x14ac:dyDescent="0.25"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</row>
    <row r="375" spans="2:14" ht="14.25" customHeight="1" x14ac:dyDescent="0.25"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</row>
    <row r="376" spans="2:14" ht="14.25" customHeight="1" x14ac:dyDescent="0.25"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</row>
    <row r="377" spans="2:14" ht="14.25" customHeight="1" x14ac:dyDescent="0.25"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</row>
    <row r="378" spans="2:14" ht="14.25" customHeight="1" x14ac:dyDescent="0.25"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</row>
    <row r="379" spans="2:14" ht="14.25" customHeight="1" x14ac:dyDescent="0.25"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</row>
    <row r="380" spans="2:14" ht="14.25" customHeight="1" x14ac:dyDescent="0.25"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</row>
    <row r="381" spans="2:14" ht="14.25" customHeight="1" x14ac:dyDescent="0.25"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</row>
    <row r="382" spans="2:14" ht="14.25" customHeight="1" x14ac:dyDescent="0.25"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</row>
    <row r="383" spans="2:14" ht="14.25" customHeight="1" x14ac:dyDescent="0.25"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</row>
    <row r="384" spans="2:14" ht="14.25" customHeight="1" x14ac:dyDescent="0.25"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</row>
    <row r="385" spans="2:14" ht="14.25" customHeight="1" x14ac:dyDescent="0.25"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</row>
    <row r="386" spans="2:14" ht="14.25" customHeight="1" x14ac:dyDescent="0.25"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</row>
    <row r="387" spans="2:14" ht="14.25" customHeight="1" x14ac:dyDescent="0.25"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</row>
    <row r="388" spans="2:14" ht="14.25" customHeight="1" x14ac:dyDescent="0.25"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</row>
    <row r="389" spans="2:14" ht="14.25" customHeight="1" x14ac:dyDescent="0.25"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</row>
    <row r="390" spans="2:14" ht="14.25" customHeight="1" x14ac:dyDescent="0.25"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</row>
    <row r="391" spans="2:14" ht="14.25" customHeight="1" x14ac:dyDescent="0.25"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</row>
    <row r="392" spans="2:14" ht="14.25" customHeight="1" x14ac:dyDescent="0.25"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</row>
    <row r="393" spans="2:14" ht="14.25" customHeight="1" x14ac:dyDescent="0.25"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</row>
    <row r="394" spans="2:14" ht="14.25" customHeight="1" x14ac:dyDescent="0.25"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</row>
    <row r="395" spans="2:14" ht="14.25" customHeight="1" x14ac:dyDescent="0.25"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</row>
    <row r="396" spans="2:14" ht="14.25" customHeight="1" x14ac:dyDescent="0.25"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</row>
    <row r="397" spans="2:14" ht="14.25" customHeight="1" x14ac:dyDescent="0.25"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</row>
    <row r="398" spans="2:14" ht="14.25" customHeight="1" x14ac:dyDescent="0.25"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</row>
    <row r="399" spans="2:14" ht="14.25" customHeight="1" x14ac:dyDescent="0.25"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</row>
    <row r="400" spans="2:14" ht="14.25" customHeight="1" x14ac:dyDescent="0.25"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</row>
    <row r="401" spans="2:14" ht="14.25" customHeight="1" x14ac:dyDescent="0.25"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</row>
    <row r="402" spans="2:14" ht="14.25" customHeight="1" x14ac:dyDescent="0.25"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</row>
    <row r="403" spans="2:14" ht="14.25" customHeight="1" x14ac:dyDescent="0.25"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</row>
    <row r="404" spans="2:14" ht="14.25" customHeight="1" x14ac:dyDescent="0.25"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</row>
    <row r="405" spans="2:14" ht="14.25" customHeight="1" x14ac:dyDescent="0.25"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</row>
    <row r="406" spans="2:14" ht="14.25" customHeight="1" x14ac:dyDescent="0.25"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</row>
    <row r="407" spans="2:14" ht="14.25" customHeight="1" x14ac:dyDescent="0.25"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</row>
    <row r="408" spans="2:14" ht="14.25" customHeight="1" x14ac:dyDescent="0.25"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</row>
    <row r="409" spans="2:14" ht="14.25" customHeight="1" x14ac:dyDescent="0.25"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</row>
    <row r="410" spans="2:14" ht="14.25" customHeight="1" x14ac:dyDescent="0.25"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</row>
    <row r="411" spans="2:14" ht="14.25" customHeight="1" x14ac:dyDescent="0.25"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</row>
    <row r="412" spans="2:14" ht="14.25" customHeight="1" x14ac:dyDescent="0.25"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</row>
    <row r="413" spans="2:14" ht="14.25" customHeight="1" x14ac:dyDescent="0.25"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</row>
    <row r="414" spans="2:14" ht="14.25" customHeight="1" x14ac:dyDescent="0.25"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</row>
    <row r="415" spans="2:14" ht="14.25" customHeight="1" x14ac:dyDescent="0.25"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</row>
    <row r="416" spans="2:14" ht="14.25" customHeight="1" x14ac:dyDescent="0.25"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</row>
    <row r="417" spans="2:14" ht="14.25" customHeight="1" x14ac:dyDescent="0.25"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</row>
    <row r="418" spans="2:14" ht="14.25" customHeight="1" x14ac:dyDescent="0.25"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</row>
    <row r="419" spans="2:14" ht="14.25" customHeight="1" x14ac:dyDescent="0.25"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</row>
    <row r="420" spans="2:14" ht="14.25" customHeight="1" x14ac:dyDescent="0.25"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</row>
    <row r="421" spans="2:14" ht="14.25" customHeight="1" x14ac:dyDescent="0.25"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</row>
    <row r="422" spans="2:14" ht="14.25" customHeight="1" x14ac:dyDescent="0.25"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</row>
    <row r="423" spans="2:14" ht="14.25" customHeight="1" x14ac:dyDescent="0.25"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</row>
    <row r="424" spans="2:14" ht="14.25" customHeight="1" x14ac:dyDescent="0.25"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</row>
    <row r="425" spans="2:14" ht="14.25" customHeight="1" x14ac:dyDescent="0.25"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</row>
    <row r="426" spans="2:14" ht="14.25" customHeight="1" x14ac:dyDescent="0.25"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</row>
    <row r="427" spans="2:14" ht="14.25" customHeight="1" x14ac:dyDescent="0.25"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</row>
    <row r="428" spans="2:14" ht="14.25" customHeight="1" x14ac:dyDescent="0.25"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</row>
    <row r="429" spans="2:14" ht="14.25" customHeight="1" x14ac:dyDescent="0.25"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</row>
    <row r="430" spans="2:14" ht="14.25" customHeight="1" x14ac:dyDescent="0.25"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</row>
    <row r="431" spans="2:14" ht="14.25" customHeight="1" x14ac:dyDescent="0.25"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</row>
    <row r="432" spans="2:14" ht="14.25" customHeight="1" x14ac:dyDescent="0.25"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</row>
    <row r="433" spans="2:14" ht="14.25" customHeight="1" x14ac:dyDescent="0.25"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</row>
    <row r="434" spans="2:14" ht="14.25" customHeight="1" x14ac:dyDescent="0.25"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</row>
    <row r="435" spans="2:14" ht="14.25" customHeight="1" x14ac:dyDescent="0.25"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</row>
    <row r="436" spans="2:14" ht="14.25" customHeight="1" x14ac:dyDescent="0.25"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</row>
    <row r="437" spans="2:14" ht="14.25" customHeight="1" x14ac:dyDescent="0.25"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</row>
    <row r="438" spans="2:14" ht="14.25" customHeight="1" x14ac:dyDescent="0.25"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</row>
    <row r="439" spans="2:14" ht="14.25" customHeight="1" x14ac:dyDescent="0.25"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</row>
    <row r="440" spans="2:14" ht="14.25" customHeight="1" x14ac:dyDescent="0.25"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</row>
    <row r="441" spans="2:14" ht="14.25" customHeight="1" x14ac:dyDescent="0.25"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</row>
    <row r="442" spans="2:14" ht="14.25" customHeight="1" x14ac:dyDescent="0.25"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</row>
    <row r="443" spans="2:14" ht="14.25" customHeight="1" x14ac:dyDescent="0.25"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</row>
    <row r="444" spans="2:14" ht="14.25" customHeight="1" x14ac:dyDescent="0.25"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</row>
    <row r="445" spans="2:14" ht="14.25" customHeight="1" x14ac:dyDescent="0.25"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</row>
    <row r="446" spans="2:14" ht="14.25" customHeight="1" x14ac:dyDescent="0.25"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</row>
    <row r="447" spans="2:14" ht="14.25" customHeight="1" x14ac:dyDescent="0.25"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</row>
    <row r="448" spans="2:14" ht="14.25" customHeight="1" x14ac:dyDescent="0.25"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</row>
    <row r="449" spans="2:14" ht="14.25" customHeight="1" x14ac:dyDescent="0.25"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</row>
    <row r="450" spans="2:14" ht="14.25" customHeight="1" x14ac:dyDescent="0.25"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</row>
    <row r="451" spans="2:14" ht="14.25" customHeight="1" x14ac:dyDescent="0.25"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</row>
    <row r="452" spans="2:14" ht="14.25" customHeight="1" x14ac:dyDescent="0.25"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</row>
    <row r="453" spans="2:14" ht="14.25" customHeight="1" x14ac:dyDescent="0.25"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</row>
    <row r="454" spans="2:14" ht="14.25" customHeight="1" x14ac:dyDescent="0.25"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</row>
    <row r="455" spans="2:14" ht="14.25" customHeight="1" x14ac:dyDescent="0.25"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</row>
    <row r="456" spans="2:14" ht="14.25" customHeight="1" x14ac:dyDescent="0.25"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</row>
    <row r="457" spans="2:14" ht="14.25" customHeight="1" x14ac:dyDescent="0.25"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</row>
    <row r="458" spans="2:14" ht="14.25" customHeight="1" x14ac:dyDescent="0.25"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</row>
    <row r="459" spans="2:14" ht="14.25" customHeight="1" x14ac:dyDescent="0.25"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</row>
    <row r="460" spans="2:14" ht="14.25" customHeight="1" x14ac:dyDescent="0.25"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</row>
    <row r="461" spans="2:14" ht="14.25" customHeight="1" x14ac:dyDescent="0.25"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</row>
    <row r="462" spans="2:14" ht="14.25" customHeight="1" x14ac:dyDescent="0.25"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</row>
    <row r="463" spans="2:14" ht="14.25" customHeight="1" x14ac:dyDescent="0.25"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</row>
    <row r="464" spans="2:14" ht="14.25" customHeight="1" x14ac:dyDescent="0.25"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</row>
    <row r="465" spans="2:14" ht="14.25" customHeight="1" x14ac:dyDescent="0.25"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</row>
    <row r="466" spans="2:14" ht="14.25" customHeight="1" x14ac:dyDescent="0.25"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</row>
    <row r="467" spans="2:14" ht="14.25" customHeight="1" x14ac:dyDescent="0.25"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</row>
    <row r="468" spans="2:14" ht="14.25" customHeight="1" x14ac:dyDescent="0.25"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</row>
    <row r="469" spans="2:14" ht="14.25" customHeight="1" x14ac:dyDescent="0.25"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</row>
    <row r="470" spans="2:14" ht="14.25" customHeight="1" x14ac:dyDescent="0.25"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</row>
    <row r="471" spans="2:14" ht="14.25" customHeight="1" x14ac:dyDescent="0.25"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</row>
    <row r="472" spans="2:14" ht="14.25" customHeight="1" x14ac:dyDescent="0.25"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</row>
    <row r="473" spans="2:14" ht="14.25" customHeight="1" x14ac:dyDescent="0.25"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</row>
    <row r="474" spans="2:14" ht="14.25" customHeight="1" x14ac:dyDescent="0.25"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</row>
    <row r="475" spans="2:14" ht="14.25" customHeight="1" x14ac:dyDescent="0.25"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</row>
    <row r="476" spans="2:14" ht="14.25" customHeight="1" x14ac:dyDescent="0.25"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</row>
    <row r="477" spans="2:14" ht="14.25" customHeight="1" x14ac:dyDescent="0.25"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</row>
    <row r="478" spans="2:14" ht="14.25" customHeight="1" x14ac:dyDescent="0.25"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</row>
    <row r="479" spans="2:14" ht="14.25" customHeight="1" x14ac:dyDescent="0.25"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</row>
    <row r="480" spans="2:14" ht="14.25" customHeight="1" x14ac:dyDescent="0.25"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</row>
    <row r="481" spans="2:14" ht="14.25" customHeight="1" x14ac:dyDescent="0.25"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</row>
    <row r="482" spans="2:14" ht="14.25" customHeight="1" x14ac:dyDescent="0.25"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</row>
    <row r="483" spans="2:14" ht="14.25" customHeight="1" x14ac:dyDescent="0.25"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</row>
    <row r="484" spans="2:14" ht="14.25" customHeight="1" x14ac:dyDescent="0.25"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</row>
    <row r="485" spans="2:14" ht="14.25" customHeight="1" x14ac:dyDescent="0.25"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</row>
    <row r="486" spans="2:14" ht="14.25" customHeight="1" x14ac:dyDescent="0.25"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</row>
    <row r="487" spans="2:14" ht="14.25" customHeight="1" x14ac:dyDescent="0.25"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</row>
    <row r="488" spans="2:14" ht="14.25" customHeight="1" x14ac:dyDescent="0.25"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</row>
    <row r="489" spans="2:14" ht="14.25" customHeight="1" x14ac:dyDescent="0.25"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</row>
    <row r="490" spans="2:14" ht="14.25" customHeight="1" x14ac:dyDescent="0.25"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</row>
    <row r="491" spans="2:14" ht="14.25" customHeight="1" x14ac:dyDescent="0.25"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</row>
    <row r="492" spans="2:14" ht="14.25" customHeight="1" x14ac:dyDescent="0.25"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</row>
    <row r="493" spans="2:14" ht="14.25" customHeight="1" x14ac:dyDescent="0.25"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</row>
    <row r="494" spans="2:14" ht="14.25" customHeight="1" x14ac:dyDescent="0.25"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</row>
    <row r="495" spans="2:14" ht="14.25" customHeight="1" x14ac:dyDescent="0.25"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</row>
    <row r="496" spans="2:14" ht="14.25" customHeight="1" x14ac:dyDescent="0.25"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</row>
    <row r="497" spans="2:14" ht="14.25" customHeight="1" x14ac:dyDescent="0.25"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</row>
    <row r="498" spans="2:14" ht="14.25" customHeight="1" x14ac:dyDescent="0.25"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</row>
    <row r="499" spans="2:14" ht="14.25" customHeight="1" x14ac:dyDescent="0.25"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</row>
    <row r="500" spans="2:14" ht="14.25" customHeight="1" x14ac:dyDescent="0.25"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</row>
    <row r="501" spans="2:14" ht="14.25" customHeight="1" x14ac:dyDescent="0.25"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</row>
    <row r="502" spans="2:14" ht="14.25" customHeight="1" x14ac:dyDescent="0.25"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</row>
    <row r="503" spans="2:14" ht="14.25" customHeight="1" x14ac:dyDescent="0.25"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</row>
    <row r="504" spans="2:14" ht="14.25" customHeight="1" x14ac:dyDescent="0.25"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</row>
    <row r="505" spans="2:14" ht="14.25" customHeight="1" x14ac:dyDescent="0.25"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</row>
    <row r="506" spans="2:14" ht="14.25" customHeight="1" x14ac:dyDescent="0.25"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</row>
    <row r="507" spans="2:14" ht="14.25" customHeight="1" x14ac:dyDescent="0.25"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</row>
    <row r="508" spans="2:14" ht="14.25" customHeight="1" x14ac:dyDescent="0.25"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</row>
    <row r="509" spans="2:14" ht="14.25" customHeight="1" x14ac:dyDescent="0.25"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</row>
    <row r="510" spans="2:14" ht="14.25" customHeight="1" x14ac:dyDescent="0.25"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</row>
    <row r="511" spans="2:14" ht="14.25" customHeight="1" x14ac:dyDescent="0.25"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</row>
    <row r="512" spans="2:14" ht="14.25" customHeight="1" x14ac:dyDescent="0.25"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</row>
    <row r="513" spans="2:14" ht="14.25" customHeight="1" x14ac:dyDescent="0.25"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</row>
    <row r="514" spans="2:14" ht="14.25" customHeight="1" x14ac:dyDescent="0.25"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</row>
    <row r="515" spans="2:14" ht="14.25" customHeight="1" x14ac:dyDescent="0.25"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</row>
    <row r="516" spans="2:14" ht="14.25" customHeight="1" x14ac:dyDescent="0.25"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</row>
    <row r="517" spans="2:14" ht="14.25" customHeight="1" x14ac:dyDescent="0.25"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</row>
    <row r="518" spans="2:14" ht="14.25" customHeight="1" x14ac:dyDescent="0.25"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</row>
    <row r="519" spans="2:14" ht="14.25" customHeight="1" x14ac:dyDescent="0.25"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</row>
    <row r="520" spans="2:14" ht="14.25" customHeight="1" x14ac:dyDescent="0.25"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</row>
    <row r="521" spans="2:14" ht="14.25" customHeight="1" x14ac:dyDescent="0.25"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</row>
    <row r="522" spans="2:14" ht="14.25" customHeight="1" x14ac:dyDescent="0.25"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</row>
    <row r="523" spans="2:14" ht="14.25" customHeight="1" x14ac:dyDescent="0.25"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</row>
    <row r="524" spans="2:14" ht="14.25" customHeight="1" x14ac:dyDescent="0.25"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</row>
    <row r="525" spans="2:14" ht="14.25" customHeight="1" x14ac:dyDescent="0.25"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</row>
    <row r="526" spans="2:14" ht="14.25" customHeight="1" x14ac:dyDescent="0.25"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</row>
    <row r="527" spans="2:14" ht="14.25" customHeight="1" x14ac:dyDescent="0.25"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</row>
    <row r="528" spans="2:14" ht="14.25" customHeight="1" x14ac:dyDescent="0.25"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</row>
    <row r="529" spans="2:14" ht="14.25" customHeight="1" x14ac:dyDescent="0.25"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</row>
    <row r="530" spans="2:14" ht="14.25" customHeight="1" x14ac:dyDescent="0.25"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</row>
    <row r="531" spans="2:14" ht="14.25" customHeight="1" x14ac:dyDescent="0.25"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</row>
    <row r="532" spans="2:14" ht="14.25" customHeight="1" x14ac:dyDescent="0.25"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</row>
    <row r="533" spans="2:14" ht="14.25" customHeight="1" x14ac:dyDescent="0.25"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</row>
    <row r="534" spans="2:14" ht="14.25" customHeight="1" x14ac:dyDescent="0.25"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</row>
    <row r="535" spans="2:14" ht="14.25" customHeight="1" x14ac:dyDescent="0.25"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</row>
    <row r="536" spans="2:14" ht="14.25" customHeight="1" x14ac:dyDescent="0.25"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</row>
    <row r="537" spans="2:14" ht="14.25" customHeight="1" x14ac:dyDescent="0.25"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</row>
    <row r="538" spans="2:14" ht="14.25" customHeight="1" x14ac:dyDescent="0.25"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</row>
    <row r="539" spans="2:14" ht="14.25" customHeight="1" x14ac:dyDescent="0.25"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</row>
    <row r="540" spans="2:14" ht="14.25" customHeight="1" x14ac:dyDescent="0.25"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</row>
    <row r="541" spans="2:14" ht="14.25" customHeight="1" x14ac:dyDescent="0.25"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</row>
    <row r="542" spans="2:14" ht="14.25" customHeight="1" x14ac:dyDescent="0.25"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</row>
    <row r="543" spans="2:14" ht="14.25" customHeight="1" x14ac:dyDescent="0.25"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</row>
    <row r="544" spans="2:14" ht="14.25" customHeight="1" x14ac:dyDescent="0.25"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</row>
    <row r="545" spans="2:14" ht="14.25" customHeight="1" x14ac:dyDescent="0.25"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</row>
    <row r="546" spans="2:14" ht="14.25" customHeight="1" x14ac:dyDescent="0.25"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</row>
    <row r="547" spans="2:14" ht="14.25" customHeight="1" x14ac:dyDescent="0.25"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</row>
    <row r="548" spans="2:14" ht="14.25" customHeight="1" x14ac:dyDescent="0.25"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</row>
    <row r="549" spans="2:14" ht="14.25" customHeight="1" x14ac:dyDescent="0.25"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</row>
    <row r="550" spans="2:14" ht="14.25" customHeight="1" x14ac:dyDescent="0.25"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</row>
    <row r="551" spans="2:14" ht="14.25" customHeight="1" x14ac:dyDescent="0.25"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</row>
    <row r="552" spans="2:14" ht="14.25" customHeight="1" x14ac:dyDescent="0.25"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</row>
    <row r="553" spans="2:14" ht="14.25" customHeight="1" x14ac:dyDescent="0.25"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</row>
    <row r="554" spans="2:14" ht="14.25" customHeight="1" x14ac:dyDescent="0.25"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</row>
    <row r="555" spans="2:14" ht="14.25" customHeight="1" x14ac:dyDescent="0.25"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</row>
    <row r="556" spans="2:14" ht="14.25" customHeight="1" x14ac:dyDescent="0.25"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</row>
    <row r="557" spans="2:14" ht="14.25" customHeight="1" x14ac:dyDescent="0.25"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</row>
    <row r="558" spans="2:14" ht="14.25" customHeight="1" x14ac:dyDescent="0.25"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</row>
    <row r="559" spans="2:14" ht="14.25" customHeight="1" x14ac:dyDescent="0.25"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</row>
    <row r="560" spans="2:14" ht="14.25" customHeight="1" x14ac:dyDescent="0.25"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</row>
    <row r="561" spans="2:14" ht="14.25" customHeight="1" x14ac:dyDescent="0.25"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</row>
    <row r="562" spans="2:14" ht="14.25" customHeight="1" x14ac:dyDescent="0.25"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</row>
    <row r="563" spans="2:14" ht="14.25" customHeight="1" x14ac:dyDescent="0.25"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</row>
    <row r="564" spans="2:14" ht="14.25" customHeight="1" x14ac:dyDescent="0.25"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</row>
    <row r="565" spans="2:14" ht="14.25" customHeight="1" x14ac:dyDescent="0.25"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</row>
    <row r="566" spans="2:14" ht="14.25" customHeight="1" x14ac:dyDescent="0.25"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</row>
    <row r="567" spans="2:14" ht="14.25" customHeight="1" x14ac:dyDescent="0.25"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</row>
    <row r="568" spans="2:14" ht="14.25" customHeight="1" x14ac:dyDescent="0.25"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</row>
    <row r="569" spans="2:14" ht="14.25" customHeight="1" x14ac:dyDescent="0.25"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</row>
    <row r="570" spans="2:14" ht="14.25" customHeight="1" x14ac:dyDescent="0.25"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</row>
    <row r="571" spans="2:14" ht="14.25" customHeight="1" x14ac:dyDescent="0.25"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</row>
    <row r="572" spans="2:14" ht="14.25" customHeight="1" x14ac:dyDescent="0.25"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</row>
    <row r="573" spans="2:14" ht="14.25" customHeight="1" x14ac:dyDescent="0.25"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</row>
    <row r="574" spans="2:14" ht="14.25" customHeight="1" x14ac:dyDescent="0.25"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</row>
    <row r="575" spans="2:14" ht="14.25" customHeight="1" x14ac:dyDescent="0.25"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</row>
    <row r="576" spans="2:14" ht="14.25" customHeight="1" x14ac:dyDescent="0.25"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</row>
    <row r="577" spans="2:14" ht="14.25" customHeight="1" x14ac:dyDescent="0.25"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</row>
    <row r="578" spans="2:14" ht="14.25" customHeight="1" x14ac:dyDescent="0.25"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</row>
    <row r="579" spans="2:14" ht="14.25" customHeight="1" x14ac:dyDescent="0.25"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</row>
    <row r="580" spans="2:14" ht="14.25" customHeight="1" x14ac:dyDescent="0.25"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</row>
    <row r="581" spans="2:14" ht="14.25" customHeight="1" x14ac:dyDescent="0.25"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</row>
    <row r="582" spans="2:14" ht="14.25" customHeight="1" x14ac:dyDescent="0.25"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</row>
    <row r="583" spans="2:14" ht="14.25" customHeight="1" x14ac:dyDescent="0.25"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</row>
    <row r="584" spans="2:14" ht="14.25" customHeight="1" x14ac:dyDescent="0.25"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</row>
    <row r="585" spans="2:14" ht="14.25" customHeight="1" x14ac:dyDescent="0.25"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</row>
    <row r="586" spans="2:14" ht="14.25" customHeight="1" x14ac:dyDescent="0.25"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</row>
    <row r="587" spans="2:14" ht="14.25" customHeight="1" x14ac:dyDescent="0.25"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</row>
    <row r="588" spans="2:14" ht="14.25" customHeight="1" x14ac:dyDescent="0.25"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</row>
    <row r="589" spans="2:14" ht="14.25" customHeight="1" x14ac:dyDescent="0.25"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</row>
    <row r="590" spans="2:14" ht="14.25" customHeight="1" x14ac:dyDescent="0.25"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</row>
    <row r="591" spans="2:14" ht="14.25" customHeight="1" x14ac:dyDescent="0.25"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</row>
    <row r="592" spans="2:14" ht="14.25" customHeight="1" x14ac:dyDescent="0.25"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</row>
    <row r="593" spans="2:14" ht="14.25" customHeight="1" x14ac:dyDescent="0.25"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</row>
    <row r="594" spans="2:14" ht="14.25" customHeight="1" x14ac:dyDescent="0.25"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</row>
    <row r="595" spans="2:14" ht="14.25" customHeight="1" x14ac:dyDescent="0.25"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</row>
    <row r="596" spans="2:14" ht="14.25" customHeight="1" x14ac:dyDescent="0.25"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</row>
    <row r="597" spans="2:14" ht="14.25" customHeight="1" x14ac:dyDescent="0.25"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</row>
    <row r="598" spans="2:14" ht="14.25" customHeight="1" x14ac:dyDescent="0.25"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</row>
    <row r="599" spans="2:14" ht="14.25" customHeight="1" x14ac:dyDescent="0.25"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</row>
    <row r="600" spans="2:14" ht="14.25" customHeight="1" x14ac:dyDescent="0.25"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</row>
    <row r="601" spans="2:14" ht="14.25" customHeight="1" x14ac:dyDescent="0.25"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</row>
    <row r="602" spans="2:14" ht="14.25" customHeight="1" x14ac:dyDescent="0.25"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</row>
    <row r="603" spans="2:14" ht="14.25" customHeight="1" x14ac:dyDescent="0.25"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</row>
    <row r="604" spans="2:14" ht="14.25" customHeight="1" x14ac:dyDescent="0.25"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</row>
    <row r="605" spans="2:14" ht="14.25" customHeight="1" x14ac:dyDescent="0.25"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</row>
    <row r="606" spans="2:14" ht="14.25" customHeight="1" x14ac:dyDescent="0.25"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</row>
    <row r="607" spans="2:14" ht="14.25" customHeight="1" x14ac:dyDescent="0.25"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</row>
    <row r="608" spans="2:14" ht="14.25" customHeight="1" x14ac:dyDescent="0.25"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</row>
    <row r="609" spans="2:14" ht="14.25" customHeight="1" x14ac:dyDescent="0.25"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</row>
    <row r="610" spans="2:14" ht="14.25" customHeight="1" x14ac:dyDescent="0.25"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</row>
    <row r="611" spans="2:14" ht="14.25" customHeight="1" x14ac:dyDescent="0.25"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</row>
    <row r="612" spans="2:14" ht="14.25" customHeight="1" x14ac:dyDescent="0.25"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</row>
    <row r="613" spans="2:14" ht="14.25" customHeight="1" x14ac:dyDescent="0.25"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</row>
    <row r="614" spans="2:14" ht="14.25" customHeight="1" x14ac:dyDescent="0.25"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</row>
    <row r="615" spans="2:14" ht="14.25" customHeight="1" x14ac:dyDescent="0.25"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</row>
    <row r="616" spans="2:14" ht="14.25" customHeight="1" x14ac:dyDescent="0.25"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</row>
    <row r="617" spans="2:14" ht="14.25" customHeight="1" x14ac:dyDescent="0.25"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</row>
    <row r="618" spans="2:14" ht="14.25" customHeight="1" x14ac:dyDescent="0.25"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</row>
    <row r="619" spans="2:14" ht="14.25" customHeight="1" x14ac:dyDescent="0.25"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</row>
    <row r="620" spans="2:14" ht="14.25" customHeight="1" x14ac:dyDescent="0.25"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</row>
    <row r="621" spans="2:14" ht="14.25" customHeight="1" x14ac:dyDescent="0.25"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</row>
    <row r="622" spans="2:14" ht="14.25" customHeight="1" x14ac:dyDescent="0.25"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</row>
    <row r="623" spans="2:14" ht="14.25" customHeight="1" x14ac:dyDescent="0.25"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</row>
    <row r="624" spans="2:14" ht="14.25" customHeight="1" x14ac:dyDescent="0.25"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</row>
    <row r="625" spans="2:14" ht="14.25" customHeight="1" x14ac:dyDescent="0.25"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</row>
    <row r="626" spans="2:14" ht="14.25" customHeight="1" x14ac:dyDescent="0.25"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</row>
    <row r="627" spans="2:14" ht="14.25" customHeight="1" x14ac:dyDescent="0.25"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</row>
    <row r="628" spans="2:14" ht="14.25" customHeight="1" x14ac:dyDescent="0.25"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</row>
    <row r="629" spans="2:14" ht="14.25" customHeight="1" x14ac:dyDescent="0.25"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</row>
    <row r="630" spans="2:14" ht="14.25" customHeight="1" x14ac:dyDescent="0.25"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</row>
    <row r="631" spans="2:14" ht="14.25" customHeight="1" x14ac:dyDescent="0.25"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</row>
    <row r="632" spans="2:14" ht="14.25" customHeight="1" x14ac:dyDescent="0.25"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</row>
    <row r="633" spans="2:14" ht="14.25" customHeight="1" x14ac:dyDescent="0.25"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</row>
    <row r="634" spans="2:14" ht="14.25" customHeight="1" x14ac:dyDescent="0.25"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</row>
    <row r="635" spans="2:14" ht="14.25" customHeight="1" x14ac:dyDescent="0.25"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</row>
    <row r="636" spans="2:14" ht="14.25" customHeight="1" x14ac:dyDescent="0.25"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</row>
    <row r="637" spans="2:14" ht="14.25" customHeight="1" x14ac:dyDescent="0.25"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</row>
    <row r="638" spans="2:14" ht="14.25" customHeight="1" x14ac:dyDescent="0.25"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</row>
    <row r="639" spans="2:14" ht="14.25" customHeight="1" x14ac:dyDescent="0.25"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</row>
    <row r="640" spans="2:14" ht="14.25" customHeight="1" x14ac:dyDescent="0.25"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</row>
    <row r="641" spans="2:14" ht="14.25" customHeight="1" x14ac:dyDescent="0.25"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</row>
    <row r="642" spans="2:14" ht="14.25" customHeight="1" x14ac:dyDescent="0.25"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</row>
    <row r="643" spans="2:14" ht="14.25" customHeight="1" x14ac:dyDescent="0.25"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</row>
    <row r="644" spans="2:14" ht="14.25" customHeight="1" x14ac:dyDescent="0.25"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</row>
    <row r="645" spans="2:14" ht="14.25" customHeight="1" x14ac:dyDescent="0.25"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</row>
    <row r="646" spans="2:14" ht="14.25" customHeight="1" x14ac:dyDescent="0.25"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</row>
    <row r="647" spans="2:14" ht="14.25" customHeight="1" x14ac:dyDescent="0.25"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</row>
    <row r="648" spans="2:14" ht="14.25" customHeight="1" x14ac:dyDescent="0.25"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</row>
    <row r="649" spans="2:14" ht="14.25" customHeight="1" x14ac:dyDescent="0.25"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</row>
    <row r="650" spans="2:14" ht="14.25" customHeight="1" x14ac:dyDescent="0.25"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</row>
    <row r="651" spans="2:14" ht="14.25" customHeight="1" x14ac:dyDescent="0.25"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</row>
    <row r="652" spans="2:14" ht="14.25" customHeight="1" x14ac:dyDescent="0.25"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</row>
    <row r="653" spans="2:14" ht="14.25" customHeight="1" x14ac:dyDescent="0.25"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</row>
    <row r="654" spans="2:14" ht="14.25" customHeight="1" x14ac:dyDescent="0.25"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</row>
    <row r="655" spans="2:14" ht="14.25" customHeight="1" x14ac:dyDescent="0.25"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</row>
    <row r="656" spans="2:14" ht="14.25" customHeight="1" x14ac:dyDescent="0.25"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</row>
    <row r="657" spans="2:14" ht="14.25" customHeight="1" x14ac:dyDescent="0.25"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</row>
    <row r="658" spans="2:14" ht="14.25" customHeight="1" x14ac:dyDescent="0.25"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</row>
    <row r="659" spans="2:14" ht="14.25" customHeight="1" x14ac:dyDescent="0.25"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</row>
    <row r="660" spans="2:14" ht="14.25" customHeight="1" x14ac:dyDescent="0.25"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</row>
    <row r="661" spans="2:14" ht="14.25" customHeight="1" x14ac:dyDescent="0.25"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</row>
    <row r="662" spans="2:14" ht="14.25" customHeight="1" x14ac:dyDescent="0.25"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</row>
    <row r="663" spans="2:14" ht="14.25" customHeight="1" x14ac:dyDescent="0.25"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</row>
    <row r="664" spans="2:14" ht="14.25" customHeight="1" x14ac:dyDescent="0.25"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</row>
    <row r="665" spans="2:14" ht="14.25" customHeight="1" x14ac:dyDescent="0.25"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</row>
    <row r="666" spans="2:14" ht="14.25" customHeight="1" x14ac:dyDescent="0.25"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</row>
    <row r="667" spans="2:14" ht="14.25" customHeight="1" x14ac:dyDescent="0.25"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</row>
    <row r="668" spans="2:14" ht="14.25" customHeight="1" x14ac:dyDescent="0.25"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</row>
    <row r="669" spans="2:14" ht="14.25" customHeight="1" x14ac:dyDescent="0.25"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</row>
    <row r="670" spans="2:14" ht="14.25" customHeight="1" x14ac:dyDescent="0.25"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</row>
    <row r="671" spans="2:14" ht="14.25" customHeight="1" x14ac:dyDescent="0.25"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</row>
    <row r="672" spans="2:14" ht="14.25" customHeight="1" x14ac:dyDescent="0.25"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</row>
    <row r="673" spans="2:14" ht="14.25" customHeight="1" x14ac:dyDescent="0.25"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</row>
    <row r="674" spans="2:14" ht="14.25" customHeight="1" x14ac:dyDescent="0.25"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</row>
    <row r="675" spans="2:14" ht="14.25" customHeight="1" x14ac:dyDescent="0.25"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</row>
    <row r="676" spans="2:14" ht="14.25" customHeight="1" x14ac:dyDescent="0.25"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</row>
    <row r="677" spans="2:14" ht="14.25" customHeight="1" x14ac:dyDescent="0.25"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</row>
    <row r="678" spans="2:14" ht="14.25" customHeight="1" x14ac:dyDescent="0.25"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</row>
    <row r="679" spans="2:14" ht="14.25" customHeight="1" x14ac:dyDescent="0.25"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</row>
    <row r="680" spans="2:14" ht="14.25" customHeight="1" x14ac:dyDescent="0.25"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</row>
    <row r="681" spans="2:14" ht="14.25" customHeight="1" x14ac:dyDescent="0.25"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</row>
    <row r="682" spans="2:14" ht="14.25" customHeight="1" x14ac:dyDescent="0.25"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</row>
    <row r="683" spans="2:14" ht="14.25" customHeight="1" x14ac:dyDescent="0.25"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</row>
    <row r="684" spans="2:14" ht="14.25" customHeight="1" x14ac:dyDescent="0.25"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</row>
    <row r="685" spans="2:14" ht="14.25" customHeight="1" x14ac:dyDescent="0.25"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</row>
    <row r="686" spans="2:14" ht="14.25" customHeight="1" x14ac:dyDescent="0.25"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</row>
    <row r="687" spans="2:14" ht="14.25" customHeight="1" x14ac:dyDescent="0.25"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</row>
    <row r="688" spans="2:14" ht="14.25" customHeight="1" x14ac:dyDescent="0.25"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</row>
    <row r="689" spans="2:14" ht="14.25" customHeight="1" x14ac:dyDescent="0.25"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</row>
    <row r="690" spans="2:14" ht="14.25" customHeight="1" x14ac:dyDescent="0.25"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</row>
    <row r="691" spans="2:14" ht="14.25" customHeight="1" x14ac:dyDescent="0.25"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</row>
    <row r="692" spans="2:14" ht="14.25" customHeight="1" x14ac:dyDescent="0.25"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</row>
    <row r="693" spans="2:14" ht="14.25" customHeight="1" x14ac:dyDescent="0.25"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</row>
    <row r="694" spans="2:14" ht="14.25" customHeight="1" x14ac:dyDescent="0.25"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</row>
    <row r="695" spans="2:14" ht="14.25" customHeight="1" x14ac:dyDescent="0.25"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</row>
    <row r="696" spans="2:14" ht="14.25" customHeight="1" x14ac:dyDescent="0.25"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</row>
    <row r="697" spans="2:14" ht="14.25" customHeight="1" x14ac:dyDescent="0.25"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</row>
    <row r="698" spans="2:14" ht="14.25" customHeight="1" x14ac:dyDescent="0.25"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</row>
    <row r="699" spans="2:14" ht="14.25" customHeight="1" x14ac:dyDescent="0.25"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</row>
    <row r="700" spans="2:14" ht="14.25" customHeight="1" x14ac:dyDescent="0.25"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</row>
    <row r="701" spans="2:14" ht="14.25" customHeight="1" x14ac:dyDescent="0.25"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</row>
    <row r="702" spans="2:14" ht="14.25" customHeight="1" x14ac:dyDescent="0.25"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</row>
    <row r="703" spans="2:14" ht="14.25" customHeight="1" x14ac:dyDescent="0.25"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</row>
    <row r="704" spans="2:14" ht="14.25" customHeight="1" x14ac:dyDescent="0.25"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</row>
    <row r="705" spans="2:14" ht="14.25" customHeight="1" x14ac:dyDescent="0.25"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</row>
    <row r="706" spans="2:14" ht="14.25" customHeight="1" x14ac:dyDescent="0.25"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</row>
    <row r="707" spans="2:14" ht="14.25" customHeight="1" x14ac:dyDescent="0.25"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</row>
    <row r="708" spans="2:14" ht="14.25" customHeight="1" x14ac:dyDescent="0.25"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</row>
    <row r="709" spans="2:14" ht="14.25" customHeight="1" x14ac:dyDescent="0.25"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</row>
    <row r="710" spans="2:14" ht="14.25" customHeight="1" x14ac:dyDescent="0.25"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</row>
    <row r="711" spans="2:14" ht="14.25" customHeight="1" x14ac:dyDescent="0.25"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</row>
    <row r="712" spans="2:14" ht="14.25" customHeight="1" x14ac:dyDescent="0.25"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</row>
    <row r="713" spans="2:14" ht="14.25" customHeight="1" x14ac:dyDescent="0.25"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</row>
    <row r="714" spans="2:14" ht="14.25" customHeight="1" x14ac:dyDescent="0.25"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</row>
    <row r="715" spans="2:14" ht="14.25" customHeight="1" x14ac:dyDescent="0.25"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</row>
    <row r="716" spans="2:14" ht="14.25" customHeight="1" x14ac:dyDescent="0.25"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</row>
    <row r="717" spans="2:14" ht="14.25" customHeight="1" x14ac:dyDescent="0.25"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</row>
    <row r="718" spans="2:14" ht="14.25" customHeight="1" x14ac:dyDescent="0.25"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</row>
    <row r="719" spans="2:14" ht="14.25" customHeight="1" x14ac:dyDescent="0.25"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</row>
    <row r="720" spans="2:14" ht="14.25" customHeight="1" x14ac:dyDescent="0.25"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</row>
    <row r="721" spans="2:14" ht="14.25" customHeight="1" x14ac:dyDescent="0.25"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</row>
    <row r="722" spans="2:14" ht="14.25" customHeight="1" x14ac:dyDescent="0.25"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</row>
    <row r="723" spans="2:14" ht="14.25" customHeight="1" x14ac:dyDescent="0.25"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</row>
    <row r="724" spans="2:14" ht="14.25" customHeight="1" x14ac:dyDescent="0.25"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</row>
    <row r="725" spans="2:14" ht="14.25" customHeight="1" x14ac:dyDescent="0.25"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</row>
    <row r="726" spans="2:14" ht="14.25" customHeight="1" x14ac:dyDescent="0.25"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</row>
    <row r="727" spans="2:14" ht="14.25" customHeight="1" x14ac:dyDescent="0.25"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</row>
    <row r="728" spans="2:14" ht="14.25" customHeight="1" x14ac:dyDescent="0.25"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</row>
    <row r="729" spans="2:14" ht="14.25" customHeight="1" x14ac:dyDescent="0.25"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</row>
    <row r="730" spans="2:14" ht="14.25" customHeight="1" x14ac:dyDescent="0.25"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</row>
    <row r="731" spans="2:14" ht="14.25" customHeight="1" x14ac:dyDescent="0.25"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</row>
    <row r="732" spans="2:14" ht="14.25" customHeight="1" x14ac:dyDescent="0.25"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</row>
    <row r="733" spans="2:14" ht="14.25" customHeight="1" x14ac:dyDescent="0.25"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</row>
    <row r="734" spans="2:14" ht="14.25" customHeight="1" x14ac:dyDescent="0.25"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</row>
    <row r="735" spans="2:14" ht="14.25" customHeight="1" x14ac:dyDescent="0.25"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</row>
    <row r="736" spans="2:14" ht="14.25" customHeight="1" x14ac:dyDescent="0.25"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</row>
    <row r="737" spans="2:14" ht="14.25" customHeight="1" x14ac:dyDescent="0.25"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</row>
    <row r="738" spans="2:14" ht="14.25" customHeight="1" x14ac:dyDescent="0.25"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</row>
    <row r="739" spans="2:14" ht="14.25" customHeight="1" x14ac:dyDescent="0.25"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</row>
    <row r="740" spans="2:14" ht="14.25" customHeight="1" x14ac:dyDescent="0.25"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</row>
    <row r="741" spans="2:14" ht="14.25" customHeight="1" x14ac:dyDescent="0.25"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</row>
    <row r="742" spans="2:14" ht="14.25" customHeight="1" x14ac:dyDescent="0.25"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</row>
    <row r="743" spans="2:14" ht="14.25" customHeight="1" x14ac:dyDescent="0.25"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</row>
    <row r="744" spans="2:14" ht="14.25" customHeight="1" x14ac:dyDescent="0.25"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</row>
    <row r="745" spans="2:14" ht="14.25" customHeight="1" x14ac:dyDescent="0.25"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</row>
    <row r="746" spans="2:14" ht="14.25" customHeight="1" x14ac:dyDescent="0.25"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</row>
    <row r="747" spans="2:14" ht="14.25" customHeight="1" x14ac:dyDescent="0.25"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</row>
    <row r="748" spans="2:14" ht="14.25" customHeight="1" x14ac:dyDescent="0.25"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</row>
    <row r="749" spans="2:14" ht="14.25" customHeight="1" x14ac:dyDescent="0.25"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</row>
    <row r="750" spans="2:14" ht="14.25" customHeight="1" x14ac:dyDescent="0.25"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</row>
    <row r="751" spans="2:14" ht="14.25" customHeight="1" x14ac:dyDescent="0.25"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</row>
    <row r="752" spans="2:14" ht="14.25" customHeight="1" x14ac:dyDescent="0.25"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</row>
    <row r="753" spans="2:14" ht="14.25" customHeight="1" x14ac:dyDescent="0.25"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</row>
    <row r="754" spans="2:14" ht="14.25" customHeight="1" x14ac:dyDescent="0.25"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</row>
    <row r="755" spans="2:14" ht="14.25" customHeight="1" x14ac:dyDescent="0.25"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</row>
    <row r="756" spans="2:14" ht="14.25" customHeight="1" x14ac:dyDescent="0.25"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</row>
    <row r="757" spans="2:14" ht="14.25" customHeight="1" x14ac:dyDescent="0.25"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</row>
    <row r="758" spans="2:14" ht="14.25" customHeight="1" x14ac:dyDescent="0.25"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</row>
    <row r="759" spans="2:14" ht="14.25" customHeight="1" x14ac:dyDescent="0.25"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</row>
    <row r="760" spans="2:14" ht="14.25" customHeight="1" x14ac:dyDescent="0.25"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</row>
    <row r="761" spans="2:14" ht="14.25" customHeight="1" x14ac:dyDescent="0.25"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</row>
    <row r="762" spans="2:14" ht="14.25" customHeight="1" x14ac:dyDescent="0.25"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</row>
    <row r="763" spans="2:14" ht="14.25" customHeight="1" x14ac:dyDescent="0.25"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</row>
    <row r="764" spans="2:14" ht="14.25" customHeight="1" x14ac:dyDescent="0.25"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</row>
    <row r="765" spans="2:14" ht="14.25" customHeight="1" x14ac:dyDescent="0.25"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</row>
    <row r="766" spans="2:14" ht="14.25" customHeight="1" x14ac:dyDescent="0.25"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</row>
    <row r="767" spans="2:14" ht="14.25" customHeight="1" x14ac:dyDescent="0.25"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</row>
    <row r="768" spans="2:14" ht="14.25" customHeight="1" x14ac:dyDescent="0.25"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</row>
    <row r="769" spans="2:14" ht="14.25" customHeight="1" x14ac:dyDescent="0.25"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</row>
    <row r="770" spans="2:14" ht="14.25" customHeight="1" x14ac:dyDescent="0.25"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</row>
    <row r="771" spans="2:14" ht="14.25" customHeight="1" x14ac:dyDescent="0.25"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</row>
    <row r="772" spans="2:14" ht="14.25" customHeight="1" x14ac:dyDescent="0.25"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</row>
    <row r="773" spans="2:14" ht="14.25" customHeight="1" x14ac:dyDescent="0.25"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</row>
    <row r="774" spans="2:14" ht="14.25" customHeight="1" x14ac:dyDescent="0.25"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</row>
    <row r="775" spans="2:14" ht="14.25" customHeight="1" x14ac:dyDescent="0.25"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</row>
    <row r="776" spans="2:14" ht="14.25" customHeight="1" x14ac:dyDescent="0.25"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</row>
    <row r="777" spans="2:14" ht="14.25" customHeight="1" x14ac:dyDescent="0.25"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</row>
    <row r="778" spans="2:14" ht="14.25" customHeight="1" x14ac:dyDescent="0.25"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</row>
    <row r="779" spans="2:14" ht="14.25" customHeight="1" x14ac:dyDescent="0.25"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</row>
    <row r="780" spans="2:14" ht="14.25" customHeight="1" x14ac:dyDescent="0.25"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</row>
    <row r="781" spans="2:14" ht="14.25" customHeight="1" x14ac:dyDescent="0.25"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</row>
    <row r="782" spans="2:14" ht="14.25" customHeight="1" x14ac:dyDescent="0.25"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</row>
    <row r="783" spans="2:14" ht="14.25" customHeight="1" x14ac:dyDescent="0.25"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</row>
    <row r="784" spans="2:14" ht="14.25" customHeight="1" x14ac:dyDescent="0.25"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</row>
    <row r="785" spans="2:14" ht="14.25" customHeight="1" x14ac:dyDescent="0.25"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</row>
    <row r="786" spans="2:14" ht="14.25" customHeight="1" x14ac:dyDescent="0.25"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</row>
    <row r="787" spans="2:14" ht="14.25" customHeight="1" x14ac:dyDescent="0.25"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</row>
    <row r="788" spans="2:14" ht="14.25" customHeight="1" x14ac:dyDescent="0.25"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</row>
    <row r="789" spans="2:14" ht="14.25" customHeight="1" x14ac:dyDescent="0.25"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</row>
    <row r="790" spans="2:14" ht="14.25" customHeight="1" x14ac:dyDescent="0.25"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</row>
    <row r="791" spans="2:14" ht="14.25" customHeight="1" x14ac:dyDescent="0.25"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</row>
    <row r="792" spans="2:14" ht="14.25" customHeight="1" x14ac:dyDescent="0.25"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</row>
    <row r="793" spans="2:14" ht="14.25" customHeight="1" x14ac:dyDescent="0.25"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</row>
    <row r="794" spans="2:14" ht="14.25" customHeight="1" x14ac:dyDescent="0.25"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</row>
    <row r="795" spans="2:14" ht="14.25" customHeight="1" x14ac:dyDescent="0.25"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</row>
    <row r="796" spans="2:14" ht="14.25" customHeight="1" x14ac:dyDescent="0.25"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</row>
    <row r="797" spans="2:14" ht="14.25" customHeight="1" x14ac:dyDescent="0.25"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</row>
    <row r="798" spans="2:14" ht="14.25" customHeight="1" x14ac:dyDescent="0.25"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</row>
    <row r="799" spans="2:14" ht="14.25" customHeight="1" x14ac:dyDescent="0.25"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</row>
    <row r="800" spans="2:14" ht="14.25" customHeight="1" x14ac:dyDescent="0.25"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</row>
    <row r="801" spans="2:14" ht="14.25" customHeight="1" x14ac:dyDescent="0.25"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</row>
    <row r="802" spans="2:14" ht="14.25" customHeight="1" x14ac:dyDescent="0.25"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</row>
    <row r="803" spans="2:14" ht="14.25" customHeight="1" x14ac:dyDescent="0.25"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</row>
    <row r="804" spans="2:14" ht="14.25" customHeight="1" x14ac:dyDescent="0.25"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</row>
    <row r="805" spans="2:14" ht="14.25" customHeight="1" x14ac:dyDescent="0.25"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</row>
    <row r="806" spans="2:14" ht="14.25" customHeight="1" x14ac:dyDescent="0.25"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</row>
    <row r="807" spans="2:14" ht="14.25" customHeight="1" x14ac:dyDescent="0.25"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</row>
    <row r="808" spans="2:14" ht="14.25" customHeight="1" x14ac:dyDescent="0.25"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</row>
    <row r="809" spans="2:14" ht="14.25" customHeight="1" x14ac:dyDescent="0.25"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</row>
    <row r="810" spans="2:14" ht="14.25" customHeight="1" x14ac:dyDescent="0.25"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</row>
    <row r="811" spans="2:14" ht="14.25" customHeight="1" x14ac:dyDescent="0.25"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</row>
    <row r="812" spans="2:14" ht="14.25" customHeight="1" x14ac:dyDescent="0.25"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</row>
    <row r="813" spans="2:14" ht="14.25" customHeight="1" x14ac:dyDescent="0.25"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</row>
    <row r="814" spans="2:14" ht="14.25" customHeight="1" x14ac:dyDescent="0.25"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</row>
    <row r="815" spans="2:14" ht="14.25" customHeight="1" x14ac:dyDescent="0.25"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</row>
    <row r="816" spans="2:14" ht="14.25" customHeight="1" x14ac:dyDescent="0.25"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</row>
    <row r="817" spans="2:14" ht="14.25" customHeight="1" x14ac:dyDescent="0.25"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</row>
    <row r="818" spans="2:14" ht="14.25" customHeight="1" x14ac:dyDescent="0.25"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</row>
    <row r="819" spans="2:14" ht="14.25" customHeight="1" x14ac:dyDescent="0.25"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</row>
    <row r="820" spans="2:14" ht="14.25" customHeight="1" x14ac:dyDescent="0.25"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</row>
    <row r="821" spans="2:14" ht="14.25" customHeight="1" x14ac:dyDescent="0.25"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</row>
    <row r="822" spans="2:14" ht="14.25" customHeight="1" x14ac:dyDescent="0.25"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</row>
    <row r="823" spans="2:14" ht="14.25" customHeight="1" x14ac:dyDescent="0.25"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</row>
    <row r="824" spans="2:14" ht="14.25" customHeight="1" x14ac:dyDescent="0.25"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</row>
    <row r="825" spans="2:14" ht="14.25" customHeight="1" x14ac:dyDescent="0.25"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</row>
    <row r="826" spans="2:14" ht="14.25" customHeight="1" x14ac:dyDescent="0.25"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</row>
    <row r="827" spans="2:14" ht="14.25" customHeight="1" x14ac:dyDescent="0.25"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</row>
    <row r="828" spans="2:14" ht="14.25" customHeight="1" x14ac:dyDescent="0.25"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</row>
    <row r="829" spans="2:14" ht="14.25" customHeight="1" x14ac:dyDescent="0.25"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</row>
    <row r="830" spans="2:14" ht="14.25" customHeight="1" x14ac:dyDescent="0.25"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</row>
    <row r="831" spans="2:14" ht="14.25" customHeight="1" x14ac:dyDescent="0.25"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</row>
    <row r="832" spans="2:14" ht="14.25" customHeight="1" x14ac:dyDescent="0.25"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</row>
    <row r="833" spans="2:14" ht="14.25" customHeight="1" x14ac:dyDescent="0.25"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</row>
    <row r="834" spans="2:14" ht="14.25" customHeight="1" x14ac:dyDescent="0.25"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</row>
    <row r="835" spans="2:14" ht="14.25" customHeight="1" x14ac:dyDescent="0.25"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</row>
    <row r="836" spans="2:14" ht="14.25" customHeight="1" x14ac:dyDescent="0.25"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</row>
    <row r="837" spans="2:14" ht="14.25" customHeight="1" x14ac:dyDescent="0.25"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</row>
    <row r="838" spans="2:14" ht="14.25" customHeight="1" x14ac:dyDescent="0.25"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</row>
    <row r="839" spans="2:14" ht="14.25" customHeight="1" x14ac:dyDescent="0.25"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</row>
    <row r="840" spans="2:14" ht="14.25" customHeight="1" x14ac:dyDescent="0.25"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</row>
    <row r="841" spans="2:14" ht="14.25" customHeight="1" x14ac:dyDescent="0.25"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</row>
    <row r="842" spans="2:14" ht="14.25" customHeight="1" x14ac:dyDescent="0.25"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</row>
    <row r="843" spans="2:14" ht="14.25" customHeight="1" x14ac:dyDescent="0.25"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</row>
    <row r="844" spans="2:14" ht="14.25" customHeight="1" x14ac:dyDescent="0.25"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</row>
    <row r="845" spans="2:14" ht="14.25" customHeight="1" x14ac:dyDescent="0.25"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</row>
    <row r="846" spans="2:14" ht="14.25" customHeight="1" x14ac:dyDescent="0.25"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</row>
    <row r="847" spans="2:14" ht="14.25" customHeight="1" x14ac:dyDescent="0.25"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</row>
    <row r="848" spans="2:14" ht="14.25" customHeight="1" x14ac:dyDescent="0.25"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</row>
    <row r="849" spans="2:14" ht="14.25" customHeight="1" x14ac:dyDescent="0.25"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</row>
    <row r="850" spans="2:14" ht="14.25" customHeight="1" x14ac:dyDescent="0.25"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</row>
    <row r="851" spans="2:14" ht="14.25" customHeight="1" x14ac:dyDescent="0.25"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</row>
    <row r="852" spans="2:14" ht="14.25" customHeight="1" x14ac:dyDescent="0.25"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</row>
    <row r="853" spans="2:14" ht="14.25" customHeight="1" x14ac:dyDescent="0.25"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</row>
    <row r="854" spans="2:14" ht="14.25" customHeight="1" x14ac:dyDescent="0.25"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</row>
    <row r="855" spans="2:14" ht="14.25" customHeight="1" x14ac:dyDescent="0.25"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</row>
    <row r="856" spans="2:14" ht="14.25" customHeight="1" x14ac:dyDescent="0.25"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</row>
    <row r="857" spans="2:14" ht="14.25" customHeight="1" x14ac:dyDescent="0.25"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</row>
    <row r="858" spans="2:14" ht="14.25" customHeight="1" x14ac:dyDescent="0.25"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</row>
    <row r="859" spans="2:14" ht="14.25" customHeight="1" x14ac:dyDescent="0.25"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</row>
    <row r="860" spans="2:14" ht="14.25" customHeight="1" x14ac:dyDescent="0.25"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</row>
    <row r="861" spans="2:14" ht="14.25" customHeight="1" x14ac:dyDescent="0.25"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</row>
    <row r="862" spans="2:14" ht="14.25" customHeight="1" x14ac:dyDescent="0.25"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</row>
    <row r="863" spans="2:14" ht="14.25" customHeight="1" x14ac:dyDescent="0.25"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</row>
    <row r="864" spans="2:14" ht="14.25" customHeight="1" x14ac:dyDescent="0.25"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</row>
    <row r="865" spans="2:14" ht="14.25" customHeight="1" x14ac:dyDescent="0.25"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</row>
    <row r="866" spans="2:14" ht="14.25" customHeight="1" x14ac:dyDescent="0.25"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</row>
    <row r="867" spans="2:14" ht="14.25" customHeight="1" x14ac:dyDescent="0.25"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</row>
    <row r="868" spans="2:14" ht="14.25" customHeight="1" x14ac:dyDescent="0.25"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</row>
    <row r="869" spans="2:14" ht="14.25" customHeight="1" x14ac:dyDescent="0.25"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</row>
    <row r="870" spans="2:14" ht="14.25" customHeight="1" x14ac:dyDescent="0.25"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</row>
    <row r="871" spans="2:14" ht="14.25" customHeight="1" x14ac:dyDescent="0.25"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</row>
    <row r="872" spans="2:14" ht="14.25" customHeight="1" x14ac:dyDescent="0.25"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</row>
    <row r="873" spans="2:14" ht="14.25" customHeight="1" x14ac:dyDescent="0.25"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</row>
    <row r="874" spans="2:14" ht="14.25" customHeight="1" x14ac:dyDescent="0.25"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</row>
    <row r="875" spans="2:14" ht="14.25" customHeight="1" x14ac:dyDescent="0.25"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</row>
    <row r="876" spans="2:14" ht="14.25" customHeight="1" x14ac:dyDescent="0.25"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</row>
    <row r="877" spans="2:14" ht="14.25" customHeight="1" x14ac:dyDescent="0.25"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</row>
    <row r="878" spans="2:14" ht="14.25" customHeight="1" x14ac:dyDescent="0.25"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</row>
    <row r="879" spans="2:14" ht="14.25" customHeight="1" x14ac:dyDescent="0.25"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</row>
    <row r="880" spans="2:14" ht="14.25" customHeight="1" x14ac:dyDescent="0.25"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</row>
    <row r="881" spans="2:14" ht="14.25" customHeight="1" x14ac:dyDescent="0.25"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</row>
    <row r="882" spans="2:14" ht="14.25" customHeight="1" x14ac:dyDescent="0.25"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</row>
    <row r="883" spans="2:14" ht="14.25" customHeight="1" x14ac:dyDescent="0.25"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</row>
    <row r="884" spans="2:14" ht="14.25" customHeight="1" x14ac:dyDescent="0.25"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</row>
    <row r="885" spans="2:14" ht="14.25" customHeight="1" x14ac:dyDescent="0.25"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</row>
    <row r="886" spans="2:14" ht="14.25" customHeight="1" x14ac:dyDescent="0.25"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</row>
    <row r="887" spans="2:14" ht="14.25" customHeight="1" x14ac:dyDescent="0.25"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</row>
    <row r="888" spans="2:14" ht="14.25" customHeight="1" x14ac:dyDescent="0.25"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</row>
    <row r="889" spans="2:14" ht="14.25" customHeight="1" x14ac:dyDescent="0.25"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</row>
    <row r="890" spans="2:14" ht="14.25" customHeight="1" x14ac:dyDescent="0.25"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</row>
    <row r="891" spans="2:14" ht="14.25" customHeight="1" x14ac:dyDescent="0.25"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</row>
    <row r="892" spans="2:14" ht="14.25" customHeight="1" x14ac:dyDescent="0.25"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</row>
    <row r="893" spans="2:14" ht="14.25" customHeight="1" x14ac:dyDescent="0.25"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</row>
    <row r="894" spans="2:14" ht="14.25" customHeight="1" x14ac:dyDescent="0.25"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</row>
    <row r="895" spans="2:14" ht="14.25" customHeight="1" x14ac:dyDescent="0.25"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</row>
    <row r="896" spans="2:14" ht="14.25" customHeight="1" x14ac:dyDescent="0.25"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</row>
    <row r="897" spans="2:14" ht="14.25" customHeight="1" x14ac:dyDescent="0.25"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</row>
    <row r="898" spans="2:14" ht="14.25" customHeight="1" x14ac:dyDescent="0.25"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</row>
    <row r="899" spans="2:14" ht="14.25" customHeight="1" x14ac:dyDescent="0.25"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</row>
    <row r="900" spans="2:14" ht="14.25" customHeight="1" x14ac:dyDescent="0.25"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</row>
    <row r="901" spans="2:14" ht="14.25" customHeight="1" x14ac:dyDescent="0.25"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</row>
    <row r="902" spans="2:14" ht="14.25" customHeight="1" x14ac:dyDescent="0.25"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</row>
    <row r="903" spans="2:14" ht="14.25" customHeight="1" x14ac:dyDescent="0.25"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</row>
    <row r="904" spans="2:14" ht="14.25" customHeight="1" x14ac:dyDescent="0.25"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</row>
    <row r="905" spans="2:14" ht="14.25" customHeight="1" x14ac:dyDescent="0.25"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</row>
    <row r="906" spans="2:14" ht="14.25" customHeight="1" x14ac:dyDescent="0.25"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</row>
    <row r="907" spans="2:14" ht="14.25" customHeight="1" x14ac:dyDescent="0.25"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</row>
    <row r="908" spans="2:14" ht="14.25" customHeight="1" x14ac:dyDescent="0.25"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</row>
    <row r="909" spans="2:14" ht="14.25" customHeight="1" x14ac:dyDescent="0.25"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</row>
    <row r="910" spans="2:14" ht="14.25" customHeight="1" x14ac:dyDescent="0.25"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</row>
    <row r="911" spans="2:14" ht="14.25" customHeight="1" x14ac:dyDescent="0.25"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</row>
    <row r="912" spans="2:14" ht="14.25" customHeight="1" x14ac:dyDescent="0.25"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</row>
    <row r="913" spans="2:14" ht="14.25" customHeight="1" x14ac:dyDescent="0.25"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</row>
    <row r="914" spans="2:14" ht="14.25" customHeight="1" x14ac:dyDescent="0.25"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</row>
    <row r="915" spans="2:14" ht="14.25" customHeight="1" x14ac:dyDescent="0.25"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</row>
    <row r="916" spans="2:14" ht="14.25" customHeight="1" x14ac:dyDescent="0.25"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</row>
    <row r="917" spans="2:14" ht="14.25" customHeight="1" x14ac:dyDescent="0.25"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</row>
    <row r="918" spans="2:14" ht="14.25" customHeight="1" x14ac:dyDescent="0.25"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</row>
    <row r="919" spans="2:14" ht="14.25" customHeight="1" x14ac:dyDescent="0.25"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</row>
    <row r="920" spans="2:14" ht="14.25" customHeight="1" x14ac:dyDescent="0.25"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</row>
    <row r="921" spans="2:14" ht="14.25" customHeight="1" x14ac:dyDescent="0.25"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</row>
    <row r="922" spans="2:14" ht="14.25" customHeight="1" x14ac:dyDescent="0.25"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</row>
    <row r="923" spans="2:14" ht="14.25" customHeight="1" x14ac:dyDescent="0.25"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</row>
    <row r="924" spans="2:14" ht="14.25" customHeight="1" x14ac:dyDescent="0.25"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</row>
    <row r="925" spans="2:14" ht="14.25" customHeight="1" x14ac:dyDescent="0.25"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</row>
    <row r="926" spans="2:14" ht="14.25" customHeight="1" x14ac:dyDescent="0.25"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</row>
    <row r="927" spans="2:14" ht="14.25" customHeight="1" x14ac:dyDescent="0.25"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</row>
    <row r="928" spans="2:14" ht="14.25" customHeight="1" x14ac:dyDescent="0.25"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</row>
    <row r="929" spans="2:14" ht="14.25" customHeight="1" x14ac:dyDescent="0.25"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</row>
    <row r="930" spans="2:14" ht="14.25" customHeight="1" x14ac:dyDescent="0.25"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</row>
    <row r="931" spans="2:14" ht="14.25" customHeight="1" x14ac:dyDescent="0.25"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</row>
    <row r="932" spans="2:14" ht="14.25" customHeight="1" x14ac:dyDescent="0.25"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</row>
    <row r="933" spans="2:14" ht="14.25" customHeight="1" x14ac:dyDescent="0.25"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</row>
    <row r="934" spans="2:14" ht="14.25" customHeight="1" x14ac:dyDescent="0.25"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</row>
    <row r="935" spans="2:14" ht="14.25" customHeight="1" x14ac:dyDescent="0.25"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</row>
    <row r="936" spans="2:14" ht="14.25" customHeight="1" x14ac:dyDescent="0.25"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</row>
    <row r="937" spans="2:14" ht="14.25" customHeight="1" x14ac:dyDescent="0.25"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</row>
    <row r="938" spans="2:14" ht="14.25" customHeight="1" x14ac:dyDescent="0.25"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</row>
    <row r="939" spans="2:14" ht="14.25" customHeight="1" x14ac:dyDescent="0.25"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</row>
    <row r="940" spans="2:14" ht="14.25" customHeight="1" x14ac:dyDescent="0.25"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</row>
    <row r="941" spans="2:14" ht="14.25" customHeight="1" x14ac:dyDescent="0.25"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</row>
    <row r="942" spans="2:14" ht="14.25" customHeight="1" x14ac:dyDescent="0.25"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</row>
    <row r="943" spans="2:14" ht="14.25" customHeight="1" x14ac:dyDescent="0.25"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</row>
    <row r="944" spans="2:14" ht="14.25" customHeight="1" x14ac:dyDescent="0.25"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</row>
    <row r="945" spans="2:14" ht="14.25" customHeight="1" x14ac:dyDescent="0.25"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</row>
    <row r="946" spans="2:14" ht="14.25" customHeight="1" x14ac:dyDescent="0.25"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</row>
    <row r="947" spans="2:14" ht="14.25" customHeight="1" x14ac:dyDescent="0.25"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</row>
    <row r="948" spans="2:14" ht="14.25" customHeight="1" x14ac:dyDescent="0.25"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</row>
    <row r="949" spans="2:14" ht="14.25" customHeight="1" x14ac:dyDescent="0.25"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</row>
    <row r="950" spans="2:14" ht="14.25" customHeight="1" x14ac:dyDescent="0.25"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</row>
    <row r="951" spans="2:14" ht="14.25" customHeight="1" x14ac:dyDescent="0.25"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</row>
    <row r="952" spans="2:14" ht="14.25" customHeight="1" x14ac:dyDescent="0.25"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</row>
    <row r="953" spans="2:14" ht="14.25" customHeight="1" x14ac:dyDescent="0.25"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</row>
    <row r="954" spans="2:14" ht="14.25" customHeight="1" x14ac:dyDescent="0.25"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</row>
    <row r="955" spans="2:14" ht="14.25" customHeight="1" x14ac:dyDescent="0.25"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</row>
    <row r="956" spans="2:14" ht="14.25" customHeight="1" x14ac:dyDescent="0.25"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</row>
    <row r="957" spans="2:14" ht="14.25" customHeight="1" x14ac:dyDescent="0.25"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</row>
    <row r="958" spans="2:14" ht="14.25" customHeight="1" x14ac:dyDescent="0.25"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</row>
    <row r="959" spans="2:14" ht="14.25" customHeight="1" x14ac:dyDescent="0.25"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</row>
    <row r="960" spans="2:14" ht="14.25" customHeight="1" x14ac:dyDescent="0.25"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</row>
    <row r="961" spans="2:14" ht="14.25" customHeight="1" x14ac:dyDescent="0.25"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</row>
    <row r="962" spans="2:14" ht="14.25" customHeight="1" x14ac:dyDescent="0.25"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</row>
    <row r="963" spans="2:14" ht="14.25" customHeight="1" x14ac:dyDescent="0.25"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</row>
    <row r="964" spans="2:14" ht="14.25" customHeight="1" x14ac:dyDescent="0.25"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</row>
    <row r="965" spans="2:14" ht="14.25" customHeight="1" x14ac:dyDescent="0.25"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</row>
    <row r="966" spans="2:14" ht="14.25" customHeight="1" x14ac:dyDescent="0.25"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</row>
    <row r="967" spans="2:14" ht="14.25" customHeight="1" x14ac:dyDescent="0.25"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</row>
    <row r="968" spans="2:14" ht="14.25" customHeight="1" x14ac:dyDescent="0.25"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</row>
    <row r="969" spans="2:14" ht="14.25" customHeight="1" x14ac:dyDescent="0.25"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</row>
    <row r="970" spans="2:14" ht="14.25" customHeight="1" x14ac:dyDescent="0.25"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</row>
    <row r="971" spans="2:14" ht="14.25" customHeight="1" x14ac:dyDescent="0.25"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</row>
    <row r="972" spans="2:14" ht="14.25" customHeight="1" x14ac:dyDescent="0.25"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</row>
    <row r="973" spans="2:14" ht="14.25" customHeight="1" x14ac:dyDescent="0.25"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</row>
    <row r="974" spans="2:14" ht="14.25" customHeight="1" x14ac:dyDescent="0.25"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</row>
    <row r="975" spans="2:14" ht="14.25" customHeight="1" x14ac:dyDescent="0.25"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</row>
    <row r="976" spans="2:14" ht="14.25" customHeight="1" x14ac:dyDescent="0.25"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</row>
    <row r="977" spans="2:14" ht="14.25" customHeight="1" x14ac:dyDescent="0.25"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</row>
    <row r="978" spans="2:14" ht="14.25" customHeight="1" x14ac:dyDescent="0.25"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</row>
    <row r="979" spans="2:14" ht="14.25" customHeight="1" x14ac:dyDescent="0.25"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</row>
    <row r="980" spans="2:14" ht="14.25" customHeight="1" x14ac:dyDescent="0.25"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</row>
    <row r="981" spans="2:14" ht="14.25" customHeight="1" x14ac:dyDescent="0.25"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</row>
    <row r="982" spans="2:14" ht="14.25" customHeight="1" x14ac:dyDescent="0.25"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</row>
    <row r="983" spans="2:14" ht="14.25" customHeight="1" x14ac:dyDescent="0.25"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</row>
    <row r="984" spans="2:14" ht="14.25" customHeight="1" x14ac:dyDescent="0.25"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</row>
    <row r="985" spans="2:14" ht="14.25" customHeight="1" x14ac:dyDescent="0.25"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</row>
    <row r="986" spans="2:14" ht="14.25" customHeight="1" x14ac:dyDescent="0.25"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</row>
    <row r="987" spans="2:14" ht="14.25" customHeight="1" x14ac:dyDescent="0.25"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</row>
    <row r="988" spans="2:14" ht="14.25" customHeight="1" x14ac:dyDescent="0.25"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</row>
    <row r="989" spans="2:14" ht="14.25" customHeight="1" x14ac:dyDescent="0.25"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</row>
    <row r="990" spans="2:14" ht="14.25" customHeight="1" x14ac:dyDescent="0.25"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</row>
    <row r="991" spans="2:14" ht="14.25" customHeight="1" x14ac:dyDescent="0.25"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</row>
    <row r="992" spans="2:14" ht="14.25" customHeight="1" x14ac:dyDescent="0.25"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</row>
    <row r="993" spans="2:14" ht="14.25" customHeight="1" x14ac:dyDescent="0.25"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</row>
    <row r="994" spans="2:14" ht="14.25" customHeight="1" x14ac:dyDescent="0.25"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</row>
    <row r="995" spans="2:14" ht="14.25" customHeight="1" x14ac:dyDescent="0.25"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</row>
    <row r="996" spans="2:14" ht="14.25" customHeight="1" x14ac:dyDescent="0.25"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</row>
    <row r="997" spans="2:14" ht="14.25" customHeight="1" x14ac:dyDescent="0.25"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</row>
    <row r="998" spans="2:14" ht="14.25" customHeight="1" x14ac:dyDescent="0.25"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</row>
    <row r="999" spans="2:14" ht="14.25" customHeight="1" x14ac:dyDescent="0.25"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</row>
    <row r="1000" spans="2:14" ht="14.25" customHeight="1" x14ac:dyDescent="0.25"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</row>
  </sheetData>
  <pageMargins left="0.7" right="0.7" top="0.75" bottom="0.75" header="0" footer="0"/>
  <pageSetup paperSize="5" scale="69" fitToHeight="0" orientation="landscape" r:id="rId1"/>
  <headerFooter>
    <oddHeader>&amp;C2022 Draft Budget</oddHeader>
    <oddFooter>&amp;C&amp;F  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R998"/>
  <sheetViews>
    <sheetView zoomScale="150" zoomScaleNormal="150" workbookViewId="0">
      <pane xSplit="1" ySplit="1" topLeftCell="B59" activePane="bottomRight" state="frozen"/>
      <selection pane="topRight" activeCell="B1" sqref="B1"/>
      <selection pane="bottomLeft" activeCell="A2" sqref="A2"/>
      <selection pane="bottomRight" activeCell="B131" sqref="B131"/>
    </sheetView>
  </sheetViews>
  <sheetFormatPr defaultColWidth="12.625" defaultRowHeight="15" customHeight="1" x14ac:dyDescent="0.2"/>
  <cols>
    <col min="1" max="1" width="32" customWidth="1"/>
    <col min="2" max="14" width="10.75" customWidth="1"/>
    <col min="15" max="15" width="10.875" hidden="1" customWidth="1"/>
    <col min="16" max="16" width="10.375" hidden="1" customWidth="1"/>
    <col min="17" max="17" width="10.125" hidden="1" customWidth="1"/>
    <col min="18" max="18" width="12.125" hidden="1" customWidth="1"/>
    <col min="19" max="26" width="7.625" customWidth="1"/>
  </cols>
  <sheetData>
    <row r="1" spans="1:18" ht="33.75" customHeight="1" x14ac:dyDescent="0.25">
      <c r="A1" s="8" t="s">
        <v>6</v>
      </c>
      <c r="B1" s="20" t="s">
        <v>17</v>
      </c>
      <c r="C1" s="20" t="s">
        <v>18</v>
      </c>
      <c r="D1" s="20" t="s">
        <v>19</v>
      </c>
      <c r="E1" s="20" t="s">
        <v>20</v>
      </c>
      <c r="F1" s="20" t="s">
        <v>21</v>
      </c>
      <c r="G1" s="20" t="s">
        <v>22</v>
      </c>
      <c r="H1" s="20" t="s">
        <v>23</v>
      </c>
      <c r="I1" s="20" t="s">
        <v>24</v>
      </c>
      <c r="J1" s="20" t="s">
        <v>25</v>
      </c>
      <c r="K1" s="20" t="s">
        <v>7</v>
      </c>
      <c r="L1" s="20" t="s">
        <v>8</v>
      </c>
      <c r="M1" s="20" t="s">
        <v>9</v>
      </c>
      <c r="N1" s="58" t="s">
        <v>153</v>
      </c>
      <c r="O1" s="44" t="s">
        <v>171</v>
      </c>
      <c r="P1" s="44" t="s">
        <v>175</v>
      </c>
      <c r="Q1" s="44" t="s">
        <v>176</v>
      </c>
      <c r="R1" s="44"/>
    </row>
    <row r="2" spans="1:18" ht="14.25" customHeight="1" x14ac:dyDescent="0.25">
      <c r="A2" s="16" t="s">
        <v>11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>
        <f t="shared" ref="N2:N84" si="0">SUM(B2:M2)</f>
        <v>0</v>
      </c>
    </row>
    <row r="3" spans="1:18" ht="14.25" customHeight="1" x14ac:dyDescent="0.25">
      <c r="A3" s="14" t="s">
        <v>26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>
        <f t="shared" si="0"/>
        <v>0</v>
      </c>
    </row>
    <row r="4" spans="1:18" ht="14.25" customHeight="1" x14ac:dyDescent="0.25">
      <c r="A4" s="16" t="s">
        <v>27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>
        <f t="shared" si="0"/>
        <v>0</v>
      </c>
    </row>
    <row r="5" spans="1:18" ht="14.25" customHeight="1" x14ac:dyDescent="0.25">
      <c r="A5" s="16" t="s">
        <v>28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>
        <f t="shared" si="0"/>
        <v>0</v>
      </c>
    </row>
    <row r="6" spans="1:18" ht="14.25" customHeight="1" x14ac:dyDescent="0.25">
      <c r="A6" s="16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>
        <f t="shared" si="0"/>
        <v>0</v>
      </c>
    </row>
    <row r="7" spans="1:18" ht="14.25" customHeight="1" x14ac:dyDescent="0.25">
      <c r="A7" s="16" t="s">
        <v>30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>
        <f t="shared" si="0"/>
        <v>0</v>
      </c>
    </row>
    <row r="8" spans="1:18" ht="14.25" customHeight="1" x14ac:dyDescent="0.25">
      <c r="A8" s="16" t="s">
        <v>31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 t="shared" si="0"/>
        <v>0</v>
      </c>
    </row>
    <row r="9" spans="1:18" ht="14.25" customHeight="1" x14ac:dyDescent="0.25">
      <c r="A9" s="14" t="s">
        <v>32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>
        <f t="shared" si="0"/>
        <v>0</v>
      </c>
    </row>
    <row r="10" spans="1:18" ht="14.25" customHeight="1" x14ac:dyDescent="0.25">
      <c r="A10" s="16" t="s">
        <v>33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>
        <f t="shared" si="0"/>
        <v>0</v>
      </c>
    </row>
    <row r="11" spans="1:18" ht="14.25" customHeight="1" x14ac:dyDescent="0.25">
      <c r="A11" s="16" t="s">
        <v>34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>
        <f t="shared" si="0"/>
        <v>0</v>
      </c>
    </row>
    <row r="12" spans="1:18" ht="14.25" customHeight="1" x14ac:dyDescent="0.25">
      <c r="A12" s="16" t="s">
        <v>35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>
        <f t="shared" si="0"/>
        <v>0</v>
      </c>
    </row>
    <row r="13" spans="1:18" ht="14.25" customHeight="1" x14ac:dyDescent="0.25">
      <c r="A13" s="16" t="s">
        <v>36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>
        <f t="shared" si="0"/>
        <v>0</v>
      </c>
    </row>
    <row r="14" spans="1:18" ht="14.25" customHeight="1" x14ac:dyDescent="0.25">
      <c r="A14" s="16" t="s">
        <v>37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>
        <f t="shared" si="0"/>
        <v>0</v>
      </c>
    </row>
    <row r="15" spans="1:18" ht="14.25" customHeight="1" x14ac:dyDescent="0.25">
      <c r="A15" s="16" t="s">
        <v>38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>
        <f t="shared" si="0"/>
        <v>0</v>
      </c>
    </row>
    <row r="16" spans="1:18" ht="14.25" customHeight="1" x14ac:dyDescent="0.25">
      <c r="A16" s="16" t="s">
        <v>39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>
        <f t="shared" si="0"/>
        <v>0</v>
      </c>
    </row>
    <row r="17" spans="1:14" ht="14.25" customHeight="1" x14ac:dyDescent="0.25">
      <c r="A17" s="16" t="s">
        <v>40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>
        <f t="shared" si="0"/>
        <v>0</v>
      </c>
    </row>
    <row r="18" spans="1:14" ht="14.25" customHeight="1" x14ac:dyDescent="0.25">
      <c r="A18" s="16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>
        <f t="shared" si="0"/>
        <v>0</v>
      </c>
    </row>
    <row r="19" spans="1:14" ht="14.25" customHeight="1" x14ac:dyDescent="0.25">
      <c r="A19" s="14" t="s">
        <v>42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 t="shared" si="0"/>
        <v>0</v>
      </c>
    </row>
    <row r="20" spans="1:14" ht="14.25" customHeight="1" x14ac:dyDescent="0.25">
      <c r="A20" s="16" t="s">
        <v>43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>
        <f t="shared" si="0"/>
        <v>0</v>
      </c>
    </row>
    <row r="21" spans="1:14" ht="14.25" customHeight="1" x14ac:dyDescent="0.25">
      <c r="A21" s="16" t="s">
        <v>44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>
        <f t="shared" si="0"/>
        <v>0</v>
      </c>
    </row>
    <row r="22" spans="1:14" ht="14.25" customHeight="1" x14ac:dyDescent="0.25">
      <c r="A22" s="16" t="s">
        <v>45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>
        <f t="shared" si="0"/>
        <v>0</v>
      </c>
    </row>
    <row r="23" spans="1:14" ht="14.25" customHeight="1" x14ac:dyDescent="0.25">
      <c r="A23" s="16" t="s">
        <v>46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>
        <f t="shared" si="0"/>
        <v>0</v>
      </c>
    </row>
    <row r="24" spans="1:14" ht="14.25" customHeight="1" x14ac:dyDescent="0.25">
      <c r="A24" s="16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>
        <f t="shared" si="0"/>
        <v>0</v>
      </c>
    </row>
    <row r="25" spans="1:14" ht="14.25" customHeight="1" x14ac:dyDescent="0.25">
      <c r="A25" s="14" t="s">
        <v>48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>
        <f t="shared" si="0"/>
        <v>0</v>
      </c>
    </row>
    <row r="26" spans="1:14" ht="14.25" customHeight="1" x14ac:dyDescent="0.25">
      <c r="A26" s="16" t="s">
        <v>49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5">
        <f t="shared" si="0"/>
        <v>0</v>
      </c>
    </row>
    <row r="27" spans="1:14" ht="14.25" customHeight="1" x14ac:dyDescent="0.25">
      <c r="A27" s="16" t="s">
        <v>50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>
        <f t="shared" si="0"/>
        <v>0</v>
      </c>
    </row>
    <row r="28" spans="1:14" ht="14.25" customHeight="1" x14ac:dyDescent="0.25">
      <c r="A28" s="16" t="s">
        <v>51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>
        <f t="shared" si="0"/>
        <v>0</v>
      </c>
    </row>
    <row r="29" spans="1:14" ht="14.25" customHeight="1" x14ac:dyDescent="0.25">
      <c r="A29" s="16" t="s">
        <v>52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>
        <f t="shared" si="0"/>
        <v>0</v>
      </c>
    </row>
    <row r="30" spans="1:14" ht="14.25" customHeight="1" x14ac:dyDescent="0.25">
      <c r="A30" s="16" t="s">
        <v>53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>
        <f t="shared" si="0"/>
        <v>0</v>
      </c>
    </row>
    <row r="31" spans="1:14" ht="14.25" customHeight="1" x14ac:dyDescent="0.25">
      <c r="A31" s="16" t="s">
        <v>54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>
        <f t="shared" si="0"/>
        <v>0</v>
      </c>
    </row>
    <row r="32" spans="1:14" ht="14.25" customHeight="1" x14ac:dyDescent="0.25">
      <c r="A32" s="16" t="s">
        <v>55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>
        <f t="shared" si="0"/>
        <v>0</v>
      </c>
    </row>
    <row r="33" spans="1:14" ht="14.25" customHeight="1" x14ac:dyDescent="0.25">
      <c r="A33" s="16" t="s">
        <v>56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 t="shared" si="0"/>
        <v>0</v>
      </c>
    </row>
    <row r="34" spans="1:14" ht="14.25" customHeight="1" x14ac:dyDescent="0.25">
      <c r="A34" s="16" t="s">
        <v>57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>
        <f t="shared" si="0"/>
        <v>0</v>
      </c>
    </row>
    <row r="35" spans="1:14" ht="14.25" customHeight="1" x14ac:dyDescent="0.25">
      <c r="A35" s="16" t="s">
        <v>58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5">
        <f t="shared" si="0"/>
        <v>0</v>
      </c>
    </row>
    <row r="36" spans="1:14" ht="14.25" customHeight="1" x14ac:dyDescent="0.25">
      <c r="A36" s="16" t="s">
        <v>59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>
        <f t="shared" si="0"/>
        <v>0</v>
      </c>
    </row>
    <row r="37" spans="1:14" ht="14.25" customHeight="1" x14ac:dyDescent="0.25">
      <c r="A37" s="16" t="s">
        <v>60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>
        <f t="shared" si="0"/>
        <v>0</v>
      </c>
    </row>
    <row r="38" spans="1:14" ht="14.25" customHeight="1" x14ac:dyDescent="0.25">
      <c r="A38" s="16" t="s">
        <v>61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>
        <f t="shared" si="0"/>
        <v>0</v>
      </c>
    </row>
    <row r="39" spans="1:14" ht="14.25" customHeight="1" x14ac:dyDescent="0.25">
      <c r="A39" s="16" t="s">
        <v>62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>
        <f t="shared" si="0"/>
        <v>0</v>
      </c>
    </row>
    <row r="40" spans="1:14" ht="14.25" customHeight="1" x14ac:dyDescent="0.25">
      <c r="A40" s="16" t="s">
        <v>63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>
        <f t="shared" si="0"/>
        <v>0</v>
      </c>
    </row>
    <row r="41" spans="1:14" ht="14.25" customHeight="1" x14ac:dyDescent="0.25">
      <c r="A41" s="14" t="s">
        <v>64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>
        <f t="shared" si="0"/>
        <v>0</v>
      </c>
    </row>
    <row r="42" spans="1:14" ht="14.25" customHeight="1" x14ac:dyDescent="0.25">
      <c r="A42" s="16" t="s">
        <v>65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>
        <f t="shared" si="0"/>
        <v>0</v>
      </c>
    </row>
    <row r="43" spans="1:14" ht="14.25" customHeight="1" x14ac:dyDescent="0.25">
      <c r="A43" s="16" t="s">
        <v>66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>
        <f t="shared" si="0"/>
        <v>0</v>
      </c>
    </row>
    <row r="44" spans="1:14" ht="14.25" customHeight="1" x14ac:dyDescent="0.25">
      <c r="A44" s="16" t="s">
        <v>67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>
        <f t="shared" si="0"/>
        <v>0</v>
      </c>
    </row>
    <row r="45" spans="1:14" ht="14.25" customHeight="1" x14ac:dyDescent="0.25">
      <c r="A45" s="16" t="s">
        <v>68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>
        <f t="shared" si="0"/>
        <v>0</v>
      </c>
    </row>
    <row r="46" spans="1:14" ht="14.25" customHeight="1" x14ac:dyDescent="0.25">
      <c r="A46" s="16" t="s">
        <v>69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>
        <f t="shared" si="0"/>
        <v>0</v>
      </c>
    </row>
    <row r="47" spans="1:14" ht="14.25" customHeight="1" x14ac:dyDescent="0.25">
      <c r="A47" s="16" t="s">
        <v>70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>
        <f t="shared" si="0"/>
        <v>0</v>
      </c>
    </row>
    <row r="48" spans="1:14" ht="14.25" customHeight="1" x14ac:dyDescent="0.25">
      <c r="A48" s="16" t="s">
        <v>71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>
        <f t="shared" si="0"/>
        <v>0</v>
      </c>
    </row>
    <row r="49" spans="1:14" ht="14.25" customHeight="1" x14ac:dyDescent="0.25">
      <c r="A49" s="16" t="s">
        <v>72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>
        <f t="shared" si="0"/>
        <v>0</v>
      </c>
    </row>
    <row r="50" spans="1:14" ht="14.25" customHeight="1" x14ac:dyDescent="0.25">
      <c r="A50" s="16" t="s">
        <v>73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>
        <f t="shared" si="0"/>
        <v>0</v>
      </c>
    </row>
    <row r="51" spans="1:14" ht="14.25" customHeight="1" x14ac:dyDescent="0.25">
      <c r="A51" s="16" t="s">
        <v>74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>
        <f t="shared" si="0"/>
        <v>0</v>
      </c>
    </row>
    <row r="52" spans="1:14" ht="14.25" customHeight="1" x14ac:dyDescent="0.25">
      <c r="A52" s="16" t="s">
        <v>75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>
        <f t="shared" si="0"/>
        <v>0</v>
      </c>
    </row>
    <row r="53" spans="1:14" ht="14.25" customHeight="1" x14ac:dyDescent="0.25">
      <c r="A53" s="14" t="s">
        <v>76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>
        <f t="shared" si="0"/>
        <v>0</v>
      </c>
    </row>
    <row r="54" spans="1:14" ht="14.25" customHeight="1" x14ac:dyDescent="0.25">
      <c r="A54" s="16" t="s">
        <v>77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>
        <f t="shared" si="0"/>
        <v>0</v>
      </c>
    </row>
    <row r="55" spans="1:14" ht="14.25" customHeight="1" x14ac:dyDescent="0.25">
      <c r="A55" s="16" t="s">
        <v>78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>
        <f t="shared" si="0"/>
        <v>0</v>
      </c>
    </row>
    <row r="56" spans="1:14" ht="14.25" customHeight="1" x14ac:dyDescent="0.25">
      <c r="A56" s="16" t="s">
        <v>79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>
        <f t="shared" si="0"/>
        <v>0</v>
      </c>
    </row>
    <row r="57" spans="1:14" ht="14.25" customHeight="1" x14ac:dyDescent="0.25">
      <c r="A57" s="16" t="s">
        <v>80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>
        <f t="shared" si="0"/>
        <v>0</v>
      </c>
    </row>
    <row r="58" spans="1:14" ht="14.25" customHeight="1" x14ac:dyDescent="0.25">
      <c r="A58" s="16" t="s">
        <v>81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>
        <f t="shared" si="0"/>
        <v>0</v>
      </c>
    </row>
    <row r="59" spans="1:14" ht="14.25" customHeight="1" x14ac:dyDescent="0.25">
      <c r="A59" s="16" t="s">
        <v>82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>
        <f t="shared" si="0"/>
        <v>0</v>
      </c>
    </row>
    <row r="60" spans="1:14" ht="14.25" customHeight="1" x14ac:dyDescent="0.25">
      <c r="A60" s="16" t="s">
        <v>83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>
        <f t="shared" si="0"/>
        <v>0</v>
      </c>
    </row>
    <row r="61" spans="1:14" ht="14.25" customHeight="1" x14ac:dyDescent="0.25">
      <c r="A61" s="16" t="s">
        <v>84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>
        <f t="shared" si="0"/>
        <v>0</v>
      </c>
    </row>
    <row r="62" spans="1:14" ht="14.25" customHeight="1" x14ac:dyDescent="0.25">
      <c r="A62" s="16" t="s">
        <v>85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>
        <f t="shared" si="0"/>
        <v>0</v>
      </c>
    </row>
    <row r="63" spans="1:14" ht="14.25" customHeight="1" x14ac:dyDescent="0.25">
      <c r="A63" s="16" t="s">
        <v>86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>
        <f t="shared" si="0"/>
        <v>0</v>
      </c>
    </row>
    <row r="64" spans="1:14" ht="14.25" customHeight="1" x14ac:dyDescent="0.25">
      <c r="A64" s="16" t="s">
        <v>87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>
        <f t="shared" si="0"/>
        <v>0</v>
      </c>
    </row>
    <row r="65" spans="1:14" ht="14.25" customHeight="1" x14ac:dyDescent="0.25">
      <c r="A65" s="16" t="s">
        <v>88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5">
        <f t="shared" si="0"/>
        <v>0</v>
      </c>
    </row>
    <row r="66" spans="1:14" ht="14.25" customHeight="1" x14ac:dyDescent="0.25">
      <c r="A66" s="16" t="s">
        <v>89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>
        <f t="shared" si="0"/>
        <v>0</v>
      </c>
    </row>
    <row r="67" spans="1:14" ht="14.25" customHeight="1" x14ac:dyDescent="0.25">
      <c r="A67" s="16" t="s">
        <v>90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>
        <f t="shared" si="0"/>
        <v>0</v>
      </c>
    </row>
    <row r="68" spans="1:14" ht="14.25" customHeight="1" x14ac:dyDescent="0.25">
      <c r="A68" s="16" t="s">
        <v>91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>
        <f t="shared" si="0"/>
        <v>0</v>
      </c>
    </row>
    <row r="69" spans="1:14" ht="14.25" customHeight="1" x14ac:dyDescent="0.25">
      <c r="A69" s="16" t="s">
        <v>92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>
        <f t="shared" si="0"/>
        <v>0</v>
      </c>
    </row>
    <row r="70" spans="1:14" ht="14.25" customHeight="1" x14ac:dyDescent="0.25">
      <c r="A70" s="16" t="s">
        <v>93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>
        <f t="shared" si="0"/>
        <v>0</v>
      </c>
    </row>
    <row r="71" spans="1:14" ht="14.25" customHeight="1" x14ac:dyDescent="0.25">
      <c r="A71" s="16" t="s">
        <v>94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>
        <f t="shared" si="0"/>
        <v>0</v>
      </c>
    </row>
    <row r="72" spans="1:14" ht="14.25" customHeight="1" x14ac:dyDescent="0.25">
      <c r="A72" s="16" t="s">
        <v>95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>
        <f t="shared" si="0"/>
        <v>0</v>
      </c>
    </row>
    <row r="73" spans="1:14" ht="14.25" customHeight="1" x14ac:dyDescent="0.25">
      <c r="A73" s="16" t="s">
        <v>96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>
        <f t="shared" si="0"/>
        <v>0</v>
      </c>
    </row>
    <row r="74" spans="1:14" ht="14.25" customHeight="1" x14ac:dyDescent="0.25">
      <c r="A74" s="16" t="s">
        <v>97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>
        <f t="shared" si="0"/>
        <v>0</v>
      </c>
    </row>
    <row r="75" spans="1:14" ht="14.25" customHeight="1" x14ac:dyDescent="0.25">
      <c r="A75" s="16" t="s">
        <v>98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>
        <f t="shared" si="0"/>
        <v>0</v>
      </c>
    </row>
    <row r="76" spans="1:14" ht="14.25" customHeight="1" x14ac:dyDescent="0.25">
      <c r="A76" s="16" t="s">
        <v>99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>
        <f t="shared" si="0"/>
        <v>0</v>
      </c>
    </row>
    <row r="77" spans="1:14" ht="14.25" customHeight="1" x14ac:dyDescent="0.25">
      <c r="A77" s="16" t="s">
        <v>100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>
        <f t="shared" si="0"/>
        <v>0</v>
      </c>
    </row>
    <row r="78" spans="1:14" ht="14.25" customHeight="1" x14ac:dyDescent="0.25">
      <c r="A78" s="16" t="s">
        <v>101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>
        <f t="shared" si="0"/>
        <v>0</v>
      </c>
    </row>
    <row r="79" spans="1:14" ht="14.25" customHeight="1" x14ac:dyDescent="0.25">
      <c r="A79" s="16" t="s">
        <v>102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>
        <f t="shared" si="0"/>
        <v>0</v>
      </c>
    </row>
    <row r="80" spans="1:14" s="104" customFormat="1" ht="14.25" customHeight="1" x14ac:dyDescent="0.25">
      <c r="A80" s="105" t="s">
        <v>103</v>
      </c>
      <c r="B80" s="106"/>
      <c r="C80" s="106">
        <f>460</f>
        <v>460</v>
      </c>
      <c r="D80" s="106"/>
      <c r="E80" s="106"/>
      <c r="F80" s="106"/>
      <c r="G80" s="106"/>
      <c r="H80" s="106"/>
      <c r="I80" s="106">
        <f>460</f>
        <v>460</v>
      </c>
      <c r="J80" s="106"/>
      <c r="K80" s="106"/>
      <c r="L80" s="106"/>
      <c r="M80" s="106"/>
      <c r="N80" s="107">
        <f t="shared" si="0"/>
        <v>920</v>
      </c>
    </row>
    <row r="81" spans="1:14" s="104" customFormat="1" ht="14.25" customHeight="1" x14ac:dyDescent="0.25">
      <c r="A81" s="105" t="s">
        <v>104</v>
      </c>
      <c r="B81" s="106"/>
      <c r="C81" s="106"/>
      <c r="D81" s="106">
        <v>1000</v>
      </c>
      <c r="E81" s="106"/>
      <c r="F81" s="106"/>
      <c r="G81" s="106"/>
      <c r="H81" s="106"/>
      <c r="I81" s="106"/>
      <c r="J81" s="106"/>
      <c r="K81" s="106"/>
      <c r="L81" s="106"/>
      <c r="M81" s="106"/>
      <c r="N81" s="107">
        <f t="shared" si="0"/>
        <v>1000</v>
      </c>
    </row>
    <row r="82" spans="1:14" ht="14.25" customHeight="1" x14ac:dyDescent="0.25">
      <c r="A82" s="16" t="s">
        <v>105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>
        <f t="shared" si="0"/>
        <v>0</v>
      </c>
    </row>
    <row r="83" spans="1:14" ht="14.25" customHeight="1" x14ac:dyDescent="0.25">
      <c r="A83" s="16" t="s">
        <v>106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>
        <f t="shared" si="0"/>
        <v>0</v>
      </c>
    </row>
    <row r="84" spans="1:14" ht="14.25" customHeight="1" x14ac:dyDescent="0.25">
      <c r="A84" s="16" t="s">
        <v>107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>
        <f t="shared" si="0"/>
        <v>0</v>
      </c>
    </row>
    <row r="85" spans="1:14" s="104" customFormat="1" ht="14.25" customHeight="1" x14ac:dyDescent="0.25">
      <c r="A85" s="105" t="s">
        <v>108</v>
      </c>
      <c r="B85" s="108">
        <v>250</v>
      </c>
      <c r="C85" s="108">
        <v>250</v>
      </c>
      <c r="D85" s="108">
        <v>250</v>
      </c>
      <c r="E85" s="108">
        <v>250</v>
      </c>
      <c r="F85" s="109">
        <v>250</v>
      </c>
      <c r="G85" s="109">
        <v>250</v>
      </c>
      <c r="H85" s="108">
        <v>250</v>
      </c>
      <c r="I85" s="108">
        <v>250</v>
      </c>
      <c r="J85" s="108">
        <v>250</v>
      </c>
      <c r="K85" s="108">
        <f>250+1000</f>
        <v>1250</v>
      </c>
      <c r="L85" s="108">
        <v>250</v>
      </c>
      <c r="M85" s="108">
        <v>250</v>
      </c>
      <c r="N85" s="106">
        <f>SUM(B85:M85)</f>
        <v>4000</v>
      </c>
    </row>
    <row r="86" spans="1:14" ht="14.25" customHeight="1" x14ac:dyDescent="0.25">
      <c r="A86" s="16" t="s">
        <v>109</v>
      </c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5">
        <f t="shared" ref="N86:N129" si="1">SUM(B86:M86)</f>
        <v>0</v>
      </c>
    </row>
    <row r="87" spans="1:14" ht="14.25" customHeight="1" x14ac:dyDescent="0.25">
      <c r="A87" s="16" t="s">
        <v>110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>
        <f t="shared" si="1"/>
        <v>0</v>
      </c>
    </row>
    <row r="88" spans="1:14" ht="14.25" customHeight="1" x14ac:dyDescent="0.25">
      <c r="A88" s="16" t="s">
        <v>111</v>
      </c>
      <c r="B88" s="18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>
        <f t="shared" si="1"/>
        <v>0</v>
      </c>
    </row>
    <row r="89" spans="1:14" s="104" customFormat="1" ht="14.25" customHeight="1" x14ac:dyDescent="0.25">
      <c r="A89" s="105" t="s">
        <v>112</v>
      </c>
      <c r="B89" s="108">
        <v>548</v>
      </c>
      <c r="C89" s="108">
        <f>1008-460</f>
        <v>548</v>
      </c>
      <c r="D89" s="108">
        <v>673</v>
      </c>
      <c r="E89" s="108">
        <v>773</v>
      </c>
      <c r="F89" s="108">
        <v>423</v>
      </c>
      <c r="G89" s="108">
        <v>423</v>
      </c>
      <c r="H89" s="108">
        <v>423</v>
      </c>
      <c r="I89" s="108">
        <f>1008-460</f>
        <v>548</v>
      </c>
      <c r="J89" s="108">
        <v>923</v>
      </c>
      <c r="K89" s="108">
        <v>923</v>
      </c>
      <c r="L89" s="108">
        <v>548</v>
      </c>
      <c r="M89" s="108">
        <v>423</v>
      </c>
      <c r="N89" s="107">
        <f t="shared" si="1"/>
        <v>7176</v>
      </c>
    </row>
    <row r="90" spans="1:14" ht="14.25" customHeight="1" x14ac:dyDescent="0.25">
      <c r="A90" s="16" t="s">
        <v>113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>
        <f t="shared" si="1"/>
        <v>0</v>
      </c>
    </row>
    <row r="91" spans="1:14" ht="14.25" customHeight="1" x14ac:dyDescent="0.25">
      <c r="A91" s="16" t="s">
        <v>114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>
        <f t="shared" si="1"/>
        <v>0</v>
      </c>
    </row>
    <row r="92" spans="1:14" ht="14.25" customHeight="1" x14ac:dyDescent="0.25">
      <c r="A92" s="16" t="s">
        <v>115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>
        <f t="shared" si="1"/>
        <v>0</v>
      </c>
    </row>
    <row r="93" spans="1:14" ht="14.25" customHeight="1" x14ac:dyDescent="0.25">
      <c r="A93" s="16" t="s">
        <v>116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>
        <f t="shared" si="1"/>
        <v>0</v>
      </c>
    </row>
    <row r="94" spans="1:14" ht="14.25" customHeight="1" x14ac:dyDescent="0.25">
      <c r="A94" s="16" t="s">
        <v>117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>
        <f t="shared" si="1"/>
        <v>0</v>
      </c>
    </row>
    <row r="95" spans="1:14" ht="14.25" customHeight="1" x14ac:dyDescent="0.25">
      <c r="A95" s="16" t="s">
        <v>118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>
        <f t="shared" si="1"/>
        <v>0</v>
      </c>
    </row>
    <row r="96" spans="1:14" ht="14.25" customHeight="1" x14ac:dyDescent="0.25">
      <c r="A96" s="16" t="s">
        <v>119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>
        <f t="shared" si="1"/>
        <v>0</v>
      </c>
    </row>
    <row r="97" spans="1:14" ht="14.25" customHeight="1" x14ac:dyDescent="0.25">
      <c r="A97" s="16" t="s">
        <v>120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>
        <f t="shared" si="1"/>
        <v>0</v>
      </c>
    </row>
    <row r="98" spans="1:14" ht="14.25" customHeight="1" x14ac:dyDescent="0.25">
      <c r="A98" s="16" t="s">
        <v>121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>
        <f t="shared" si="1"/>
        <v>0</v>
      </c>
    </row>
    <row r="99" spans="1:14" ht="14.25" customHeight="1" x14ac:dyDescent="0.25">
      <c r="A99" s="14" t="s">
        <v>122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>
        <f t="shared" si="1"/>
        <v>0</v>
      </c>
    </row>
    <row r="100" spans="1:14" ht="14.25" customHeight="1" x14ac:dyDescent="0.25">
      <c r="A100" s="16" t="s">
        <v>123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>
        <f t="shared" si="1"/>
        <v>0</v>
      </c>
    </row>
    <row r="101" spans="1:14" ht="14.25" customHeight="1" x14ac:dyDescent="0.25">
      <c r="A101" s="16" t="s">
        <v>124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>
        <f t="shared" si="1"/>
        <v>0</v>
      </c>
    </row>
    <row r="102" spans="1:14" ht="14.25" customHeight="1" x14ac:dyDescent="0.25">
      <c r="A102" s="16" t="s">
        <v>125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>
        <f t="shared" si="1"/>
        <v>0</v>
      </c>
    </row>
    <row r="103" spans="1:14" ht="14.25" customHeight="1" x14ac:dyDescent="0.25">
      <c r="A103" s="16" t="s">
        <v>126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>
        <f t="shared" si="1"/>
        <v>0</v>
      </c>
    </row>
    <row r="104" spans="1:14" ht="14.25" customHeight="1" x14ac:dyDescent="0.25">
      <c r="A104" s="16" t="s">
        <v>127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>
        <f t="shared" si="1"/>
        <v>0</v>
      </c>
    </row>
    <row r="105" spans="1:14" ht="14.25" customHeight="1" x14ac:dyDescent="0.25">
      <c r="A105" s="14" t="s">
        <v>128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>
        <f t="shared" si="1"/>
        <v>0</v>
      </c>
    </row>
    <row r="106" spans="1:14" ht="14.25" customHeight="1" x14ac:dyDescent="0.25">
      <c r="A106" s="16" t="s">
        <v>129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>
        <f t="shared" si="1"/>
        <v>0</v>
      </c>
    </row>
    <row r="107" spans="1:14" ht="14.25" customHeight="1" x14ac:dyDescent="0.25">
      <c r="A107" s="16" t="s">
        <v>130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>
        <f t="shared" si="1"/>
        <v>0</v>
      </c>
    </row>
    <row r="108" spans="1:14" ht="14.25" customHeight="1" x14ac:dyDescent="0.25">
      <c r="A108" s="16" t="s">
        <v>131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>
        <f t="shared" si="1"/>
        <v>0</v>
      </c>
    </row>
    <row r="109" spans="1:14" ht="14.25" customHeight="1" x14ac:dyDescent="0.25">
      <c r="A109" s="16" t="s">
        <v>132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>
        <f t="shared" si="1"/>
        <v>0</v>
      </c>
    </row>
    <row r="110" spans="1:14" ht="14.25" customHeight="1" x14ac:dyDescent="0.25">
      <c r="A110" s="16" t="s">
        <v>133</v>
      </c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>
        <f t="shared" si="1"/>
        <v>0</v>
      </c>
    </row>
    <row r="111" spans="1:14" ht="14.25" customHeight="1" x14ac:dyDescent="0.25">
      <c r="A111" s="16" t="s">
        <v>134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>
        <f t="shared" si="1"/>
        <v>0</v>
      </c>
    </row>
    <row r="112" spans="1:14" ht="14.25" customHeight="1" x14ac:dyDescent="0.25">
      <c r="A112" s="16" t="s">
        <v>135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>
        <f t="shared" si="1"/>
        <v>0</v>
      </c>
    </row>
    <row r="113" spans="1:14" ht="14.25" customHeight="1" x14ac:dyDescent="0.25">
      <c r="A113" s="16" t="s">
        <v>40</v>
      </c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>
        <f t="shared" si="1"/>
        <v>0</v>
      </c>
    </row>
    <row r="114" spans="1:14" ht="14.25" customHeight="1" x14ac:dyDescent="0.25">
      <c r="A114" s="16" t="s">
        <v>136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>
        <f t="shared" si="1"/>
        <v>0</v>
      </c>
    </row>
    <row r="115" spans="1:14" ht="14.25" customHeight="1" x14ac:dyDescent="0.25">
      <c r="A115" s="16" t="s">
        <v>137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>
        <f t="shared" si="1"/>
        <v>0</v>
      </c>
    </row>
    <row r="116" spans="1:14" ht="14.25" customHeight="1" x14ac:dyDescent="0.25">
      <c r="A116" s="14" t="s">
        <v>138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>
        <f t="shared" si="1"/>
        <v>0</v>
      </c>
    </row>
    <row r="117" spans="1:14" ht="14.25" customHeight="1" x14ac:dyDescent="0.25">
      <c r="A117" s="16" t="s">
        <v>139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>
        <f t="shared" si="1"/>
        <v>0</v>
      </c>
    </row>
    <row r="118" spans="1:14" ht="14.25" customHeight="1" x14ac:dyDescent="0.25">
      <c r="A118" s="16" t="s">
        <v>140</v>
      </c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>
        <f t="shared" si="1"/>
        <v>0</v>
      </c>
    </row>
    <row r="119" spans="1:14" ht="14.25" customHeight="1" x14ac:dyDescent="0.25">
      <c r="A119" s="16" t="s">
        <v>141</v>
      </c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>
        <f t="shared" si="1"/>
        <v>0</v>
      </c>
    </row>
    <row r="120" spans="1:14" ht="14.25" customHeight="1" x14ac:dyDescent="0.25">
      <c r="A120" s="16" t="s">
        <v>142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>
        <f t="shared" si="1"/>
        <v>0</v>
      </c>
    </row>
    <row r="121" spans="1:14" ht="14.25" customHeight="1" x14ac:dyDescent="0.25">
      <c r="A121" s="16" t="s">
        <v>143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>
        <f t="shared" si="1"/>
        <v>0</v>
      </c>
    </row>
    <row r="122" spans="1:14" ht="14.25" customHeight="1" x14ac:dyDescent="0.25">
      <c r="A122" s="16" t="s">
        <v>144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>
        <f t="shared" si="1"/>
        <v>0</v>
      </c>
    </row>
    <row r="123" spans="1:14" ht="14.25" customHeight="1" x14ac:dyDescent="0.25">
      <c r="A123" s="16" t="s">
        <v>145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>
        <f t="shared" si="1"/>
        <v>0</v>
      </c>
    </row>
    <row r="124" spans="1:14" ht="14.25" customHeight="1" x14ac:dyDescent="0.25">
      <c r="A124" s="16" t="s">
        <v>146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>
        <f t="shared" si="1"/>
        <v>0</v>
      </c>
    </row>
    <row r="125" spans="1:14" ht="14.25" customHeight="1" x14ac:dyDescent="0.25">
      <c r="A125" s="16" t="s">
        <v>147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>
        <f t="shared" si="1"/>
        <v>0</v>
      </c>
    </row>
    <row r="126" spans="1:14" ht="14.25" customHeight="1" x14ac:dyDescent="0.25">
      <c r="A126" s="16" t="s">
        <v>148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>
        <f t="shared" si="1"/>
        <v>0</v>
      </c>
    </row>
    <row r="127" spans="1:14" ht="14.25" customHeight="1" x14ac:dyDescent="0.25">
      <c r="A127" s="16" t="s">
        <v>149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>
        <f t="shared" si="1"/>
        <v>0</v>
      </c>
    </row>
    <row r="128" spans="1:14" ht="14.25" customHeight="1" x14ac:dyDescent="0.25">
      <c r="A128" s="16" t="s">
        <v>150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>
        <f t="shared" si="1"/>
        <v>0</v>
      </c>
    </row>
    <row r="129" spans="1:14" ht="14.25" customHeight="1" x14ac:dyDescent="0.25">
      <c r="A129" s="16" t="s">
        <v>151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>
        <f t="shared" si="1"/>
        <v>0</v>
      </c>
    </row>
    <row r="130" spans="1:14" ht="14.25" customHeight="1" x14ac:dyDescent="0.25">
      <c r="A130" s="39" t="s">
        <v>173</v>
      </c>
      <c r="B130" s="31">
        <f>SUM(B54:B129)</f>
        <v>798</v>
      </c>
      <c r="C130" s="31">
        <f t="shared" ref="C130:M130" si="2">SUM(C54:C129)</f>
        <v>1258</v>
      </c>
      <c r="D130" s="31">
        <f t="shared" si="2"/>
        <v>1923</v>
      </c>
      <c r="E130" s="31">
        <f t="shared" si="2"/>
        <v>1023</v>
      </c>
      <c r="F130" s="31">
        <f t="shared" si="2"/>
        <v>673</v>
      </c>
      <c r="G130" s="31">
        <f t="shared" si="2"/>
        <v>673</v>
      </c>
      <c r="H130" s="31">
        <f t="shared" si="2"/>
        <v>673</v>
      </c>
      <c r="I130" s="31">
        <f t="shared" si="2"/>
        <v>1258</v>
      </c>
      <c r="J130" s="31">
        <f t="shared" si="2"/>
        <v>1173</v>
      </c>
      <c r="K130" s="31">
        <f t="shared" si="2"/>
        <v>2173</v>
      </c>
      <c r="L130" s="31">
        <f t="shared" si="2"/>
        <v>798</v>
      </c>
      <c r="M130" s="31">
        <f t="shared" si="2"/>
        <v>673</v>
      </c>
      <c r="N130" s="31">
        <f>SUM(B130:M130)</f>
        <v>13096</v>
      </c>
    </row>
    <row r="131" spans="1:14" ht="14.25" customHeight="1" x14ac:dyDescent="0.25"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</row>
    <row r="132" spans="1:14" ht="14.25" customHeight="1" x14ac:dyDescent="0.25"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</row>
    <row r="133" spans="1:14" ht="14.25" customHeight="1" x14ac:dyDescent="0.25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</row>
    <row r="134" spans="1:14" ht="14.25" customHeight="1" x14ac:dyDescent="0.25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</row>
    <row r="135" spans="1:14" ht="14.25" customHeight="1" x14ac:dyDescent="0.25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</row>
    <row r="136" spans="1:14" ht="14.25" customHeight="1" x14ac:dyDescent="0.25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</row>
    <row r="137" spans="1:14" ht="14.25" customHeight="1" thickBot="1" x14ac:dyDescent="0.3">
      <c r="A137" s="60" t="s">
        <v>177</v>
      </c>
      <c r="B137" s="60"/>
      <c r="C137" s="61"/>
      <c r="D137" s="61"/>
      <c r="E137" s="61"/>
      <c r="F137" s="62"/>
      <c r="G137" s="62"/>
      <c r="H137" s="62"/>
      <c r="I137" s="62"/>
      <c r="J137" s="62"/>
      <c r="K137" s="62"/>
      <c r="L137" s="62"/>
      <c r="M137" s="62"/>
      <c r="N137" s="62"/>
    </row>
    <row r="138" spans="1:14" ht="14.25" customHeight="1" x14ac:dyDescent="0.2">
      <c r="A138" s="63" t="s">
        <v>178</v>
      </c>
      <c r="B138" s="64" t="s">
        <v>179</v>
      </c>
      <c r="C138" s="65"/>
      <c r="D138" s="65"/>
      <c r="E138" s="65"/>
      <c r="F138" s="65"/>
      <c r="G138" s="65"/>
      <c r="H138" s="65"/>
      <c r="I138" s="66"/>
      <c r="J138" s="66"/>
      <c r="K138" s="66"/>
      <c r="L138" s="66"/>
      <c r="M138" s="66"/>
      <c r="N138" s="67"/>
    </row>
    <row r="139" spans="1:14" ht="14.25" customHeight="1" x14ac:dyDescent="0.2">
      <c r="A139" s="68" t="s">
        <v>180</v>
      </c>
      <c r="B139" s="77" t="s">
        <v>181</v>
      </c>
      <c r="C139" s="69"/>
      <c r="D139" s="69"/>
      <c r="E139" s="69"/>
      <c r="F139" s="69"/>
      <c r="G139" s="69"/>
      <c r="H139" s="69"/>
      <c r="I139" s="70"/>
      <c r="J139" s="70"/>
      <c r="K139" s="70"/>
      <c r="L139" s="70"/>
      <c r="M139" s="70"/>
      <c r="N139" s="71"/>
    </row>
    <row r="140" spans="1:14" ht="14.25" customHeight="1" x14ac:dyDescent="0.25">
      <c r="A140" s="68"/>
      <c r="B140" s="77" t="s">
        <v>182</v>
      </c>
      <c r="C140" s="72"/>
      <c r="D140" s="72"/>
      <c r="E140" s="72"/>
      <c r="F140" s="72"/>
      <c r="G140" s="72"/>
      <c r="H140" s="72"/>
      <c r="I140" s="73"/>
      <c r="J140" s="73"/>
      <c r="K140" s="73"/>
      <c r="L140" s="73"/>
      <c r="M140" s="73"/>
      <c r="N140" s="74"/>
    </row>
    <row r="141" spans="1:14" ht="14.25" customHeight="1" x14ac:dyDescent="0.25">
      <c r="A141" s="68"/>
      <c r="B141" s="77" t="s">
        <v>183</v>
      </c>
      <c r="C141" s="72"/>
      <c r="D141" s="72"/>
      <c r="E141" s="72"/>
      <c r="F141" s="72"/>
      <c r="G141" s="72"/>
      <c r="H141" s="72"/>
      <c r="I141" s="73"/>
      <c r="J141" s="73"/>
      <c r="K141" s="73"/>
      <c r="L141" s="73"/>
      <c r="M141" s="73"/>
      <c r="N141" s="74"/>
    </row>
    <row r="142" spans="1:14" ht="14.25" customHeight="1" x14ac:dyDescent="0.2">
      <c r="A142" s="75" t="s">
        <v>184</v>
      </c>
      <c r="B142" s="78" t="s">
        <v>185</v>
      </c>
      <c r="C142" s="70"/>
      <c r="D142" s="70"/>
      <c r="E142" s="70"/>
      <c r="F142" s="69"/>
      <c r="G142" s="69"/>
      <c r="H142" s="69"/>
      <c r="I142" s="69"/>
      <c r="J142" s="69"/>
      <c r="K142" s="69"/>
      <c r="L142" s="69"/>
      <c r="M142" s="69"/>
      <c r="N142" s="76"/>
    </row>
    <row r="143" spans="1:14" ht="14.25" customHeight="1" x14ac:dyDescent="0.2">
      <c r="A143" s="79"/>
      <c r="B143" s="80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2"/>
    </row>
    <row r="144" spans="1:14" ht="14.25" customHeight="1" x14ac:dyDescent="0.2">
      <c r="A144" s="79"/>
      <c r="B144" s="80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2"/>
    </row>
    <row r="145" spans="1:14" ht="14.25" customHeight="1" x14ac:dyDescent="0.25">
      <c r="A145" s="79" t="s">
        <v>186</v>
      </c>
      <c r="B145" s="80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4"/>
    </row>
    <row r="146" spans="1:14" ht="14.25" customHeight="1" x14ac:dyDescent="0.25">
      <c r="A146" s="85"/>
      <c r="B146" s="86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8"/>
    </row>
    <row r="147" spans="1:14" ht="14.25" customHeight="1" x14ac:dyDescent="0.25">
      <c r="A147" s="89" t="s">
        <v>187</v>
      </c>
      <c r="B147" s="90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8"/>
    </row>
    <row r="148" spans="1:14" ht="14.25" customHeight="1" x14ac:dyDescent="0.25">
      <c r="A148" s="91" t="s">
        <v>188</v>
      </c>
      <c r="B148" s="90" t="s">
        <v>189</v>
      </c>
      <c r="C148" s="90"/>
      <c r="D148" s="72"/>
      <c r="E148" s="72"/>
      <c r="F148" s="72"/>
      <c r="G148" s="90"/>
      <c r="H148" s="72" t="s">
        <v>190</v>
      </c>
      <c r="I148" s="72"/>
      <c r="J148" s="72"/>
      <c r="K148" s="72"/>
      <c r="L148" s="72"/>
      <c r="M148" s="72"/>
      <c r="N148" s="92"/>
    </row>
    <row r="149" spans="1:14" ht="14.25" customHeight="1" x14ac:dyDescent="0.25">
      <c r="A149" s="91" t="s">
        <v>188</v>
      </c>
      <c r="B149" s="93" t="s">
        <v>191</v>
      </c>
      <c r="C149" s="90"/>
      <c r="D149" s="72"/>
      <c r="E149" s="72"/>
      <c r="F149" s="72"/>
      <c r="G149" s="90"/>
      <c r="H149" s="72" t="s">
        <v>190</v>
      </c>
      <c r="I149" s="72"/>
      <c r="J149" s="72"/>
      <c r="K149" s="72"/>
      <c r="L149" s="72"/>
      <c r="M149" s="72"/>
      <c r="N149" s="92"/>
    </row>
    <row r="150" spans="1:14" ht="14.25" customHeight="1" x14ac:dyDescent="0.25">
      <c r="A150" s="91" t="s">
        <v>188</v>
      </c>
      <c r="B150" s="94" t="s">
        <v>192</v>
      </c>
      <c r="C150" s="90"/>
      <c r="D150" s="72"/>
      <c r="E150" s="72"/>
      <c r="F150" s="90"/>
      <c r="G150" s="90"/>
      <c r="H150" s="72" t="s">
        <v>190</v>
      </c>
      <c r="I150" s="72"/>
      <c r="J150" s="72"/>
      <c r="K150" s="72"/>
      <c r="L150" s="72"/>
      <c r="M150" s="72"/>
      <c r="N150" s="92"/>
    </row>
    <row r="151" spans="1:14" ht="14.25" customHeight="1" x14ac:dyDescent="0.25">
      <c r="A151" s="95" t="s">
        <v>188</v>
      </c>
      <c r="B151" s="96" t="s">
        <v>193</v>
      </c>
      <c r="C151" s="96"/>
      <c r="D151" s="73"/>
      <c r="E151" s="73"/>
      <c r="F151" s="90"/>
      <c r="G151" s="90"/>
      <c r="H151" s="73" t="s">
        <v>190</v>
      </c>
      <c r="I151" s="73"/>
      <c r="J151" s="73"/>
      <c r="K151" s="72"/>
      <c r="L151" s="72"/>
      <c r="M151" s="72"/>
      <c r="N151" s="92"/>
    </row>
    <row r="152" spans="1:14" ht="14.25" customHeight="1" x14ac:dyDescent="0.25">
      <c r="A152" s="91" t="s">
        <v>194</v>
      </c>
      <c r="B152" s="90" t="s">
        <v>195</v>
      </c>
      <c r="C152" s="87"/>
      <c r="D152" s="87"/>
      <c r="E152" s="97" t="s">
        <v>196</v>
      </c>
      <c r="F152" s="90"/>
      <c r="G152" s="90"/>
      <c r="H152" s="87" t="s">
        <v>190</v>
      </c>
      <c r="I152" s="87"/>
      <c r="J152" s="87"/>
      <c r="K152" s="87"/>
      <c r="L152" s="87"/>
      <c r="M152" s="87"/>
      <c r="N152" s="88"/>
    </row>
    <row r="153" spans="1:14" ht="14.25" customHeight="1" x14ac:dyDescent="0.25">
      <c r="A153" s="91" t="s">
        <v>194</v>
      </c>
      <c r="B153" s="90" t="s">
        <v>197</v>
      </c>
      <c r="C153" s="90"/>
      <c r="D153" s="87"/>
      <c r="E153" s="97" t="s">
        <v>198</v>
      </c>
      <c r="F153" s="90"/>
      <c r="G153" s="90"/>
      <c r="H153" s="87" t="s">
        <v>190</v>
      </c>
      <c r="I153" s="87"/>
      <c r="J153" s="87"/>
      <c r="K153" s="87"/>
      <c r="L153" s="87"/>
      <c r="M153" s="87"/>
      <c r="N153" s="88"/>
    </row>
    <row r="154" spans="1:14" ht="14.25" customHeight="1" thickBot="1" x14ac:dyDescent="0.3">
      <c r="A154" s="98" t="s">
        <v>194</v>
      </c>
      <c r="B154" s="99" t="s">
        <v>199</v>
      </c>
      <c r="C154" s="99"/>
      <c r="D154" s="100"/>
      <c r="E154" s="101">
        <v>5000</v>
      </c>
      <c r="F154" s="99"/>
      <c r="G154" s="100"/>
      <c r="H154" s="100" t="s">
        <v>190</v>
      </c>
      <c r="I154" s="100"/>
      <c r="J154" s="100"/>
      <c r="K154" s="100"/>
      <c r="L154" s="100"/>
      <c r="M154" s="100"/>
      <c r="N154" s="102"/>
    </row>
    <row r="155" spans="1:14" ht="14.25" customHeight="1" x14ac:dyDescent="0.25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</row>
    <row r="156" spans="1:14" ht="14.25" customHeight="1" x14ac:dyDescent="0.25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</row>
    <row r="157" spans="1:14" ht="14.25" customHeight="1" x14ac:dyDescent="0.25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</row>
    <row r="158" spans="1:14" ht="14.25" customHeight="1" x14ac:dyDescent="0.25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</row>
    <row r="159" spans="1:14" ht="14.25" customHeight="1" x14ac:dyDescent="0.25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</row>
    <row r="160" spans="1:14" ht="14.25" customHeight="1" x14ac:dyDescent="0.25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</row>
    <row r="161" spans="2:14" ht="14.25" customHeight="1" x14ac:dyDescent="0.25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</row>
    <row r="162" spans="2:14" ht="14.25" customHeight="1" x14ac:dyDescent="0.25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</row>
    <row r="163" spans="2:14" ht="14.25" customHeight="1" x14ac:dyDescent="0.25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</row>
    <row r="164" spans="2:14" ht="14.25" customHeight="1" x14ac:dyDescent="0.25"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</row>
    <row r="165" spans="2:14" ht="14.25" customHeight="1" x14ac:dyDescent="0.25"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</row>
    <row r="166" spans="2:14" ht="14.25" customHeight="1" x14ac:dyDescent="0.25"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</row>
    <row r="167" spans="2:14" ht="14.25" customHeight="1" x14ac:dyDescent="0.25"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</row>
    <row r="168" spans="2:14" ht="14.25" customHeight="1" x14ac:dyDescent="0.25"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</row>
    <row r="169" spans="2:14" ht="14.25" customHeight="1" x14ac:dyDescent="0.25"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</row>
    <row r="170" spans="2:14" ht="14.25" customHeight="1" x14ac:dyDescent="0.25"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</row>
    <row r="171" spans="2:14" ht="14.25" customHeight="1" x14ac:dyDescent="0.25"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</row>
    <row r="172" spans="2:14" ht="14.25" customHeight="1" x14ac:dyDescent="0.25"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</row>
    <row r="173" spans="2:14" ht="14.25" customHeight="1" x14ac:dyDescent="0.25"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</row>
    <row r="174" spans="2:14" ht="14.25" customHeight="1" x14ac:dyDescent="0.25"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</row>
    <row r="175" spans="2:14" ht="14.25" customHeight="1" x14ac:dyDescent="0.25"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</row>
    <row r="176" spans="2:14" ht="14.25" customHeight="1" x14ac:dyDescent="0.25"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</row>
    <row r="177" spans="2:14" ht="14.25" customHeight="1" x14ac:dyDescent="0.25"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</row>
    <row r="178" spans="2:14" ht="14.25" customHeight="1" x14ac:dyDescent="0.25"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</row>
    <row r="179" spans="2:14" ht="14.25" customHeight="1" x14ac:dyDescent="0.25"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</row>
    <row r="180" spans="2:14" ht="14.25" customHeight="1" x14ac:dyDescent="0.25"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</row>
    <row r="181" spans="2:14" ht="14.25" customHeight="1" x14ac:dyDescent="0.25"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</row>
    <row r="182" spans="2:14" ht="14.25" customHeight="1" x14ac:dyDescent="0.25"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</row>
    <row r="183" spans="2:14" ht="14.25" customHeight="1" x14ac:dyDescent="0.25"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</row>
    <row r="184" spans="2:14" ht="14.25" customHeight="1" x14ac:dyDescent="0.25"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</row>
    <row r="185" spans="2:14" ht="14.25" customHeight="1" x14ac:dyDescent="0.25"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</row>
    <row r="186" spans="2:14" ht="14.25" customHeight="1" x14ac:dyDescent="0.25"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</row>
    <row r="187" spans="2:14" ht="14.25" customHeight="1" x14ac:dyDescent="0.25"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</row>
    <row r="188" spans="2:14" ht="14.25" customHeight="1" x14ac:dyDescent="0.25"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</row>
    <row r="189" spans="2:14" ht="14.25" customHeight="1" x14ac:dyDescent="0.25"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</row>
    <row r="190" spans="2:14" ht="14.25" customHeight="1" x14ac:dyDescent="0.25"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</row>
    <row r="191" spans="2:14" ht="14.25" customHeight="1" x14ac:dyDescent="0.25"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</row>
    <row r="192" spans="2:14" ht="14.25" customHeight="1" x14ac:dyDescent="0.25"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</row>
    <row r="193" spans="2:14" ht="14.25" customHeight="1" x14ac:dyDescent="0.25"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</row>
    <row r="194" spans="2:14" ht="14.25" customHeight="1" x14ac:dyDescent="0.25"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</row>
    <row r="195" spans="2:14" ht="14.25" customHeight="1" x14ac:dyDescent="0.25"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</row>
    <row r="196" spans="2:14" ht="14.25" customHeight="1" x14ac:dyDescent="0.25"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</row>
    <row r="197" spans="2:14" ht="14.25" customHeight="1" x14ac:dyDescent="0.25"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</row>
    <row r="198" spans="2:14" ht="14.25" customHeight="1" x14ac:dyDescent="0.25"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</row>
    <row r="199" spans="2:14" ht="14.25" customHeight="1" x14ac:dyDescent="0.25"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</row>
    <row r="200" spans="2:14" ht="14.25" customHeight="1" x14ac:dyDescent="0.25"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</row>
    <row r="201" spans="2:14" ht="14.25" customHeight="1" x14ac:dyDescent="0.25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</row>
    <row r="202" spans="2:14" ht="14.25" customHeight="1" x14ac:dyDescent="0.25"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</row>
    <row r="203" spans="2:14" ht="14.25" customHeight="1" x14ac:dyDescent="0.25"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</row>
    <row r="204" spans="2:14" ht="14.25" customHeight="1" x14ac:dyDescent="0.25"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</row>
    <row r="205" spans="2:14" ht="14.25" customHeight="1" x14ac:dyDescent="0.25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</row>
    <row r="206" spans="2:14" ht="14.25" customHeight="1" x14ac:dyDescent="0.25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</row>
    <row r="207" spans="2:14" ht="14.25" customHeight="1" x14ac:dyDescent="0.25"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</row>
    <row r="208" spans="2:14" ht="14.25" customHeight="1" x14ac:dyDescent="0.25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</row>
    <row r="209" spans="2:14" ht="14.25" customHeight="1" x14ac:dyDescent="0.25"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</row>
    <row r="210" spans="2:14" ht="14.25" customHeight="1" x14ac:dyDescent="0.25"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</row>
    <row r="211" spans="2:14" ht="14.25" customHeight="1" x14ac:dyDescent="0.25"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</row>
    <row r="212" spans="2:14" ht="14.25" customHeight="1" x14ac:dyDescent="0.25"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</row>
    <row r="213" spans="2:14" ht="14.25" customHeight="1" x14ac:dyDescent="0.25"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</row>
    <row r="214" spans="2:14" ht="14.25" customHeight="1" x14ac:dyDescent="0.25"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</row>
    <row r="215" spans="2:14" ht="14.25" customHeight="1" x14ac:dyDescent="0.25"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</row>
    <row r="216" spans="2:14" ht="14.25" customHeight="1" x14ac:dyDescent="0.25"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</row>
    <row r="217" spans="2:14" ht="14.25" customHeight="1" x14ac:dyDescent="0.25"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</row>
    <row r="218" spans="2:14" ht="14.25" customHeight="1" x14ac:dyDescent="0.25"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</row>
    <row r="219" spans="2:14" ht="14.25" customHeight="1" x14ac:dyDescent="0.25"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</row>
    <row r="220" spans="2:14" ht="14.25" customHeight="1" x14ac:dyDescent="0.25"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</row>
    <row r="221" spans="2:14" ht="14.25" customHeight="1" x14ac:dyDescent="0.25"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</row>
    <row r="222" spans="2:14" ht="14.25" customHeight="1" x14ac:dyDescent="0.25"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</row>
    <row r="223" spans="2:14" ht="14.25" customHeight="1" x14ac:dyDescent="0.25"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</row>
    <row r="224" spans="2:14" ht="14.25" customHeight="1" x14ac:dyDescent="0.25"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</row>
    <row r="225" spans="2:14" ht="14.25" customHeight="1" x14ac:dyDescent="0.25"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</row>
    <row r="226" spans="2:14" ht="14.25" customHeight="1" x14ac:dyDescent="0.25"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</row>
    <row r="227" spans="2:14" ht="14.25" customHeight="1" x14ac:dyDescent="0.25"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</row>
    <row r="228" spans="2:14" ht="14.25" customHeight="1" x14ac:dyDescent="0.25"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</row>
    <row r="229" spans="2:14" ht="14.25" customHeight="1" x14ac:dyDescent="0.25"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</row>
    <row r="230" spans="2:14" ht="14.25" customHeight="1" x14ac:dyDescent="0.25"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</row>
    <row r="231" spans="2:14" ht="14.25" customHeight="1" x14ac:dyDescent="0.25"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</row>
    <row r="232" spans="2:14" ht="14.25" customHeight="1" x14ac:dyDescent="0.25"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</row>
    <row r="233" spans="2:14" ht="14.25" customHeight="1" x14ac:dyDescent="0.25"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</row>
    <row r="234" spans="2:14" ht="14.25" customHeight="1" x14ac:dyDescent="0.25"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</row>
    <row r="235" spans="2:14" ht="14.25" customHeight="1" x14ac:dyDescent="0.25"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</row>
    <row r="236" spans="2:14" ht="14.25" customHeight="1" x14ac:dyDescent="0.25"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</row>
    <row r="237" spans="2:14" ht="14.25" customHeight="1" x14ac:dyDescent="0.25"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</row>
    <row r="238" spans="2:14" ht="14.25" customHeight="1" x14ac:dyDescent="0.25"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</row>
    <row r="239" spans="2:14" ht="14.25" customHeight="1" x14ac:dyDescent="0.25"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</row>
    <row r="240" spans="2:14" ht="14.25" customHeight="1" x14ac:dyDescent="0.25"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</row>
    <row r="241" spans="2:14" ht="14.25" customHeight="1" x14ac:dyDescent="0.25"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</row>
    <row r="242" spans="2:14" ht="14.25" customHeight="1" x14ac:dyDescent="0.25"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</row>
    <row r="243" spans="2:14" ht="14.25" customHeight="1" x14ac:dyDescent="0.25"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</row>
    <row r="244" spans="2:14" ht="14.25" customHeight="1" x14ac:dyDescent="0.25"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</row>
    <row r="245" spans="2:14" ht="14.25" customHeight="1" x14ac:dyDescent="0.25"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</row>
    <row r="246" spans="2:14" ht="14.25" customHeight="1" x14ac:dyDescent="0.25"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</row>
    <row r="247" spans="2:14" ht="14.25" customHeight="1" x14ac:dyDescent="0.25"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</row>
    <row r="248" spans="2:14" ht="14.25" customHeight="1" x14ac:dyDescent="0.25"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</row>
    <row r="249" spans="2:14" ht="14.25" customHeight="1" x14ac:dyDescent="0.25"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</row>
    <row r="250" spans="2:14" ht="14.25" customHeight="1" x14ac:dyDescent="0.25"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</row>
    <row r="251" spans="2:14" ht="14.25" customHeight="1" x14ac:dyDescent="0.25"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</row>
    <row r="252" spans="2:14" ht="14.25" customHeight="1" x14ac:dyDescent="0.25"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</row>
    <row r="253" spans="2:14" ht="14.25" customHeight="1" x14ac:dyDescent="0.25"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</row>
    <row r="254" spans="2:14" ht="14.25" customHeight="1" x14ac:dyDescent="0.25"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</row>
    <row r="255" spans="2:14" ht="14.25" customHeight="1" x14ac:dyDescent="0.25"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</row>
    <row r="256" spans="2:14" ht="14.25" customHeight="1" x14ac:dyDescent="0.25"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</row>
    <row r="257" spans="2:14" ht="14.25" customHeight="1" x14ac:dyDescent="0.25"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</row>
    <row r="258" spans="2:14" ht="14.25" customHeight="1" x14ac:dyDescent="0.25"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</row>
    <row r="259" spans="2:14" ht="14.25" customHeight="1" x14ac:dyDescent="0.25"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</row>
    <row r="260" spans="2:14" ht="14.25" customHeight="1" x14ac:dyDescent="0.25"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</row>
    <row r="261" spans="2:14" ht="14.25" customHeight="1" x14ac:dyDescent="0.25"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</row>
    <row r="262" spans="2:14" ht="14.25" customHeight="1" x14ac:dyDescent="0.25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</row>
    <row r="263" spans="2:14" ht="14.25" customHeight="1" x14ac:dyDescent="0.25"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</row>
    <row r="264" spans="2:14" ht="14.25" customHeight="1" x14ac:dyDescent="0.25"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</row>
    <row r="265" spans="2:14" ht="14.25" customHeight="1" x14ac:dyDescent="0.25"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</row>
    <row r="266" spans="2:14" ht="14.25" customHeight="1" x14ac:dyDescent="0.25"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</row>
    <row r="267" spans="2:14" ht="14.25" customHeight="1" x14ac:dyDescent="0.25"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</row>
    <row r="268" spans="2:14" ht="14.25" customHeight="1" x14ac:dyDescent="0.25"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</row>
    <row r="269" spans="2:14" ht="14.25" customHeight="1" x14ac:dyDescent="0.25"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</row>
    <row r="270" spans="2:14" ht="14.25" customHeight="1" x14ac:dyDescent="0.25"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</row>
    <row r="271" spans="2:14" ht="14.25" customHeight="1" x14ac:dyDescent="0.25"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</row>
    <row r="272" spans="2:14" ht="14.25" customHeight="1" x14ac:dyDescent="0.25"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</row>
    <row r="273" spans="2:14" ht="14.25" customHeight="1" x14ac:dyDescent="0.25"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</row>
    <row r="274" spans="2:14" ht="14.25" customHeight="1" x14ac:dyDescent="0.25"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</row>
    <row r="275" spans="2:14" ht="14.25" customHeight="1" x14ac:dyDescent="0.25"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</row>
    <row r="276" spans="2:14" ht="14.25" customHeight="1" x14ac:dyDescent="0.25"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</row>
    <row r="277" spans="2:14" ht="14.25" customHeight="1" x14ac:dyDescent="0.25"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</row>
    <row r="278" spans="2:14" ht="14.25" customHeight="1" x14ac:dyDescent="0.25"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</row>
    <row r="279" spans="2:14" ht="14.25" customHeight="1" x14ac:dyDescent="0.25"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</row>
    <row r="280" spans="2:14" ht="14.25" customHeight="1" x14ac:dyDescent="0.25"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</row>
    <row r="281" spans="2:14" ht="14.25" customHeight="1" x14ac:dyDescent="0.25"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</row>
    <row r="282" spans="2:14" ht="14.25" customHeight="1" x14ac:dyDescent="0.25"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</row>
    <row r="283" spans="2:14" ht="14.25" customHeight="1" x14ac:dyDescent="0.25"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</row>
    <row r="284" spans="2:14" ht="14.25" customHeight="1" x14ac:dyDescent="0.25"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</row>
    <row r="285" spans="2:14" ht="14.25" customHeight="1" x14ac:dyDescent="0.25"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</row>
    <row r="286" spans="2:14" ht="14.25" customHeight="1" x14ac:dyDescent="0.25"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</row>
    <row r="287" spans="2:14" ht="14.25" customHeight="1" x14ac:dyDescent="0.25"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</row>
    <row r="288" spans="2:14" ht="14.25" customHeight="1" x14ac:dyDescent="0.25"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</row>
    <row r="289" spans="2:14" ht="14.25" customHeight="1" x14ac:dyDescent="0.25"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</row>
    <row r="290" spans="2:14" ht="14.25" customHeight="1" x14ac:dyDescent="0.25"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</row>
    <row r="291" spans="2:14" ht="14.25" customHeight="1" x14ac:dyDescent="0.25"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</row>
    <row r="292" spans="2:14" ht="14.25" customHeight="1" x14ac:dyDescent="0.25"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</row>
    <row r="293" spans="2:14" ht="14.25" customHeight="1" x14ac:dyDescent="0.25"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</row>
    <row r="294" spans="2:14" ht="14.25" customHeight="1" x14ac:dyDescent="0.25"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</row>
    <row r="295" spans="2:14" ht="14.25" customHeight="1" x14ac:dyDescent="0.25"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</row>
    <row r="296" spans="2:14" ht="14.25" customHeight="1" x14ac:dyDescent="0.25"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</row>
    <row r="297" spans="2:14" ht="14.25" customHeight="1" x14ac:dyDescent="0.25"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</row>
    <row r="298" spans="2:14" ht="14.25" customHeight="1" x14ac:dyDescent="0.25"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</row>
    <row r="299" spans="2:14" ht="14.25" customHeight="1" x14ac:dyDescent="0.25"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</row>
    <row r="300" spans="2:14" ht="14.25" customHeight="1" x14ac:dyDescent="0.25"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</row>
    <row r="301" spans="2:14" ht="14.25" customHeight="1" x14ac:dyDescent="0.25"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</row>
    <row r="302" spans="2:14" ht="14.25" customHeight="1" x14ac:dyDescent="0.25"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</row>
    <row r="303" spans="2:14" ht="14.25" customHeight="1" x14ac:dyDescent="0.25"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</row>
    <row r="304" spans="2:14" ht="14.25" customHeight="1" x14ac:dyDescent="0.25"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</row>
    <row r="305" spans="2:14" ht="14.25" customHeight="1" x14ac:dyDescent="0.25"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</row>
    <row r="306" spans="2:14" ht="14.25" customHeight="1" x14ac:dyDescent="0.25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</row>
    <row r="307" spans="2:14" ht="14.25" customHeight="1" x14ac:dyDescent="0.25"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</row>
    <row r="308" spans="2:14" ht="14.25" customHeight="1" x14ac:dyDescent="0.25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</row>
    <row r="309" spans="2:14" ht="14.25" customHeight="1" x14ac:dyDescent="0.25"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</row>
    <row r="310" spans="2:14" ht="14.25" customHeight="1" x14ac:dyDescent="0.25"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</row>
    <row r="311" spans="2:14" ht="14.25" customHeight="1" x14ac:dyDescent="0.25"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</row>
    <row r="312" spans="2:14" ht="14.25" customHeight="1" x14ac:dyDescent="0.25"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</row>
    <row r="313" spans="2:14" ht="14.25" customHeight="1" x14ac:dyDescent="0.25"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</row>
    <row r="314" spans="2:14" ht="14.25" customHeight="1" x14ac:dyDescent="0.25"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</row>
    <row r="315" spans="2:14" ht="14.25" customHeight="1" x14ac:dyDescent="0.25"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</row>
    <row r="316" spans="2:14" ht="14.25" customHeight="1" x14ac:dyDescent="0.25"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</row>
    <row r="317" spans="2:14" ht="14.25" customHeight="1" x14ac:dyDescent="0.25"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</row>
    <row r="318" spans="2:14" ht="14.25" customHeight="1" x14ac:dyDescent="0.25"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</row>
    <row r="319" spans="2:14" ht="14.25" customHeight="1" x14ac:dyDescent="0.25"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</row>
    <row r="320" spans="2:14" ht="14.25" customHeight="1" x14ac:dyDescent="0.25"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</row>
    <row r="321" spans="2:14" ht="14.25" customHeight="1" x14ac:dyDescent="0.25"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</row>
    <row r="322" spans="2:14" ht="14.25" customHeight="1" x14ac:dyDescent="0.25"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</row>
    <row r="323" spans="2:14" ht="14.25" customHeight="1" x14ac:dyDescent="0.25"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</row>
    <row r="324" spans="2:14" ht="14.25" customHeight="1" x14ac:dyDescent="0.25"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</row>
    <row r="325" spans="2:14" ht="14.25" customHeight="1" x14ac:dyDescent="0.25"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</row>
    <row r="326" spans="2:14" ht="14.25" customHeight="1" x14ac:dyDescent="0.25"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</row>
    <row r="327" spans="2:14" ht="14.25" customHeight="1" x14ac:dyDescent="0.25"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</row>
    <row r="328" spans="2:14" ht="14.25" customHeight="1" x14ac:dyDescent="0.25"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</row>
    <row r="329" spans="2:14" ht="14.25" customHeight="1" x14ac:dyDescent="0.25"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</row>
    <row r="330" spans="2:14" ht="14.25" customHeight="1" x14ac:dyDescent="0.25"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</row>
    <row r="331" spans="2:14" ht="14.25" customHeight="1" x14ac:dyDescent="0.25"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</row>
    <row r="332" spans="2:14" ht="14.25" customHeight="1" x14ac:dyDescent="0.25"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</row>
    <row r="333" spans="2:14" ht="14.25" customHeight="1" x14ac:dyDescent="0.25"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</row>
    <row r="334" spans="2:14" ht="14.25" customHeight="1" x14ac:dyDescent="0.25"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</row>
    <row r="335" spans="2:14" ht="14.25" customHeight="1" x14ac:dyDescent="0.25"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</row>
    <row r="336" spans="2:14" ht="14.25" customHeight="1" x14ac:dyDescent="0.25"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</row>
    <row r="337" spans="2:14" ht="14.25" customHeight="1" x14ac:dyDescent="0.25"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</row>
    <row r="338" spans="2:14" ht="14.25" customHeight="1" x14ac:dyDescent="0.25"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</row>
    <row r="339" spans="2:14" ht="14.25" customHeight="1" x14ac:dyDescent="0.25"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</row>
    <row r="340" spans="2:14" ht="14.25" customHeight="1" x14ac:dyDescent="0.25"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</row>
    <row r="341" spans="2:14" ht="14.25" customHeight="1" x14ac:dyDescent="0.25"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</row>
    <row r="342" spans="2:14" ht="14.25" customHeight="1" x14ac:dyDescent="0.25"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</row>
    <row r="343" spans="2:14" ht="14.25" customHeight="1" x14ac:dyDescent="0.25"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</row>
    <row r="344" spans="2:14" ht="14.25" customHeight="1" x14ac:dyDescent="0.25"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</row>
    <row r="345" spans="2:14" ht="14.25" customHeight="1" x14ac:dyDescent="0.25"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</row>
    <row r="346" spans="2:14" ht="14.25" customHeight="1" x14ac:dyDescent="0.25"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</row>
    <row r="347" spans="2:14" ht="14.25" customHeight="1" x14ac:dyDescent="0.25"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</row>
    <row r="348" spans="2:14" ht="14.25" customHeight="1" x14ac:dyDescent="0.25"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</row>
    <row r="349" spans="2:14" ht="14.25" customHeight="1" x14ac:dyDescent="0.25"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</row>
    <row r="350" spans="2:14" ht="14.25" customHeight="1" x14ac:dyDescent="0.25"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</row>
    <row r="351" spans="2:14" ht="14.25" customHeight="1" x14ac:dyDescent="0.25"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</row>
    <row r="352" spans="2:14" ht="14.25" customHeight="1" x14ac:dyDescent="0.25"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</row>
    <row r="353" spans="2:14" ht="14.25" customHeight="1" x14ac:dyDescent="0.25"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</row>
    <row r="354" spans="2:14" ht="14.25" customHeight="1" x14ac:dyDescent="0.25"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</row>
    <row r="355" spans="2:14" ht="14.25" customHeight="1" x14ac:dyDescent="0.25"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</row>
    <row r="356" spans="2:14" ht="14.25" customHeight="1" x14ac:dyDescent="0.25"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</row>
    <row r="357" spans="2:14" ht="14.25" customHeight="1" x14ac:dyDescent="0.25"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</row>
    <row r="358" spans="2:14" ht="14.25" customHeight="1" x14ac:dyDescent="0.25"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</row>
    <row r="359" spans="2:14" ht="14.25" customHeight="1" x14ac:dyDescent="0.25"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</row>
    <row r="360" spans="2:14" ht="14.25" customHeight="1" x14ac:dyDescent="0.25"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</row>
    <row r="361" spans="2:14" ht="14.25" customHeight="1" x14ac:dyDescent="0.25"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</row>
    <row r="362" spans="2:14" ht="14.25" customHeight="1" x14ac:dyDescent="0.25"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</row>
    <row r="363" spans="2:14" ht="14.25" customHeight="1" x14ac:dyDescent="0.25"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</row>
    <row r="364" spans="2:14" ht="14.25" customHeight="1" x14ac:dyDescent="0.25"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</row>
    <row r="365" spans="2:14" ht="14.25" customHeight="1" x14ac:dyDescent="0.25"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</row>
    <row r="366" spans="2:14" ht="14.25" customHeight="1" x14ac:dyDescent="0.25"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</row>
    <row r="367" spans="2:14" ht="14.25" customHeight="1" x14ac:dyDescent="0.25"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</row>
    <row r="368" spans="2:14" ht="14.25" customHeight="1" x14ac:dyDescent="0.25"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</row>
    <row r="369" spans="2:14" ht="14.25" customHeight="1" x14ac:dyDescent="0.25"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</row>
    <row r="370" spans="2:14" ht="14.25" customHeight="1" x14ac:dyDescent="0.25"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</row>
    <row r="371" spans="2:14" ht="14.25" customHeight="1" x14ac:dyDescent="0.25"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</row>
    <row r="372" spans="2:14" ht="14.25" customHeight="1" x14ac:dyDescent="0.25"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</row>
    <row r="373" spans="2:14" ht="14.25" customHeight="1" x14ac:dyDescent="0.25"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</row>
    <row r="374" spans="2:14" ht="14.25" customHeight="1" x14ac:dyDescent="0.25"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</row>
    <row r="375" spans="2:14" ht="14.25" customHeight="1" x14ac:dyDescent="0.25"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</row>
    <row r="376" spans="2:14" ht="14.25" customHeight="1" x14ac:dyDescent="0.25"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</row>
    <row r="377" spans="2:14" ht="14.25" customHeight="1" x14ac:dyDescent="0.25"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</row>
    <row r="378" spans="2:14" ht="14.25" customHeight="1" x14ac:dyDescent="0.25"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</row>
    <row r="379" spans="2:14" ht="14.25" customHeight="1" x14ac:dyDescent="0.25"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</row>
    <row r="380" spans="2:14" ht="14.25" customHeight="1" x14ac:dyDescent="0.25"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</row>
    <row r="381" spans="2:14" ht="14.25" customHeight="1" x14ac:dyDescent="0.25"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</row>
    <row r="382" spans="2:14" ht="14.25" customHeight="1" x14ac:dyDescent="0.25"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</row>
    <row r="383" spans="2:14" ht="14.25" customHeight="1" x14ac:dyDescent="0.25"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</row>
    <row r="384" spans="2:14" ht="14.25" customHeight="1" x14ac:dyDescent="0.25"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</row>
    <row r="385" spans="2:14" ht="14.25" customHeight="1" x14ac:dyDescent="0.25"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</row>
    <row r="386" spans="2:14" ht="14.25" customHeight="1" x14ac:dyDescent="0.25"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</row>
    <row r="387" spans="2:14" ht="14.25" customHeight="1" x14ac:dyDescent="0.25"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</row>
    <row r="388" spans="2:14" ht="14.25" customHeight="1" x14ac:dyDescent="0.25"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</row>
    <row r="389" spans="2:14" ht="14.25" customHeight="1" x14ac:dyDescent="0.25"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</row>
    <row r="390" spans="2:14" ht="14.25" customHeight="1" x14ac:dyDescent="0.25"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</row>
    <row r="391" spans="2:14" ht="14.25" customHeight="1" x14ac:dyDescent="0.25"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</row>
    <row r="392" spans="2:14" ht="14.25" customHeight="1" x14ac:dyDescent="0.25"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</row>
    <row r="393" spans="2:14" ht="14.25" customHeight="1" x14ac:dyDescent="0.25"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</row>
    <row r="394" spans="2:14" ht="14.25" customHeight="1" x14ac:dyDescent="0.25"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</row>
    <row r="395" spans="2:14" ht="14.25" customHeight="1" x14ac:dyDescent="0.25"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</row>
    <row r="396" spans="2:14" ht="14.25" customHeight="1" x14ac:dyDescent="0.25"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</row>
    <row r="397" spans="2:14" ht="14.25" customHeight="1" x14ac:dyDescent="0.25"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</row>
    <row r="398" spans="2:14" ht="14.25" customHeight="1" x14ac:dyDescent="0.25"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</row>
    <row r="399" spans="2:14" ht="14.25" customHeight="1" x14ac:dyDescent="0.25"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</row>
    <row r="400" spans="2:14" ht="14.25" customHeight="1" x14ac:dyDescent="0.25"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</row>
    <row r="401" spans="2:14" ht="14.25" customHeight="1" x14ac:dyDescent="0.25"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</row>
    <row r="402" spans="2:14" ht="14.25" customHeight="1" x14ac:dyDescent="0.25"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</row>
    <row r="403" spans="2:14" ht="14.25" customHeight="1" x14ac:dyDescent="0.25"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</row>
    <row r="404" spans="2:14" ht="14.25" customHeight="1" x14ac:dyDescent="0.25"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</row>
    <row r="405" spans="2:14" ht="14.25" customHeight="1" x14ac:dyDescent="0.25"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</row>
    <row r="406" spans="2:14" ht="14.25" customHeight="1" x14ac:dyDescent="0.25"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</row>
    <row r="407" spans="2:14" ht="14.25" customHeight="1" x14ac:dyDescent="0.25"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</row>
    <row r="408" spans="2:14" ht="14.25" customHeight="1" x14ac:dyDescent="0.25"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</row>
    <row r="409" spans="2:14" ht="14.25" customHeight="1" x14ac:dyDescent="0.25"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</row>
    <row r="410" spans="2:14" ht="14.25" customHeight="1" x14ac:dyDescent="0.25"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</row>
    <row r="411" spans="2:14" ht="14.25" customHeight="1" x14ac:dyDescent="0.25"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</row>
    <row r="412" spans="2:14" ht="14.25" customHeight="1" x14ac:dyDescent="0.25"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</row>
    <row r="413" spans="2:14" ht="14.25" customHeight="1" x14ac:dyDescent="0.25"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</row>
    <row r="414" spans="2:14" ht="14.25" customHeight="1" x14ac:dyDescent="0.25"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</row>
    <row r="415" spans="2:14" ht="14.25" customHeight="1" x14ac:dyDescent="0.25"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</row>
    <row r="416" spans="2:14" ht="14.25" customHeight="1" x14ac:dyDescent="0.25"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</row>
    <row r="417" spans="2:14" ht="14.25" customHeight="1" x14ac:dyDescent="0.25"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</row>
    <row r="418" spans="2:14" ht="14.25" customHeight="1" x14ac:dyDescent="0.25"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</row>
    <row r="419" spans="2:14" ht="14.25" customHeight="1" x14ac:dyDescent="0.25"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</row>
    <row r="420" spans="2:14" ht="14.25" customHeight="1" x14ac:dyDescent="0.25"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</row>
    <row r="421" spans="2:14" ht="14.25" customHeight="1" x14ac:dyDescent="0.25"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</row>
    <row r="422" spans="2:14" ht="14.25" customHeight="1" x14ac:dyDescent="0.25"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</row>
    <row r="423" spans="2:14" ht="14.25" customHeight="1" x14ac:dyDescent="0.25"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</row>
    <row r="424" spans="2:14" ht="14.25" customHeight="1" x14ac:dyDescent="0.25"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</row>
    <row r="425" spans="2:14" ht="14.25" customHeight="1" x14ac:dyDescent="0.25"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</row>
    <row r="426" spans="2:14" ht="14.25" customHeight="1" x14ac:dyDescent="0.25"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</row>
    <row r="427" spans="2:14" ht="14.25" customHeight="1" x14ac:dyDescent="0.25"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</row>
    <row r="428" spans="2:14" ht="14.25" customHeight="1" x14ac:dyDescent="0.25"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</row>
    <row r="429" spans="2:14" ht="14.25" customHeight="1" x14ac:dyDescent="0.25"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</row>
    <row r="430" spans="2:14" ht="14.25" customHeight="1" x14ac:dyDescent="0.25"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</row>
    <row r="431" spans="2:14" ht="14.25" customHeight="1" x14ac:dyDescent="0.25"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</row>
    <row r="432" spans="2:14" ht="14.25" customHeight="1" x14ac:dyDescent="0.25"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</row>
    <row r="433" spans="2:14" ht="14.25" customHeight="1" x14ac:dyDescent="0.25"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</row>
    <row r="434" spans="2:14" ht="14.25" customHeight="1" x14ac:dyDescent="0.25"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</row>
    <row r="435" spans="2:14" ht="14.25" customHeight="1" x14ac:dyDescent="0.25"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</row>
    <row r="436" spans="2:14" ht="14.25" customHeight="1" x14ac:dyDescent="0.25"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</row>
    <row r="437" spans="2:14" ht="14.25" customHeight="1" x14ac:dyDescent="0.25"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</row>
    <row r="438" spans="2:14" ht="14.25" customHeight="1" x14ac:dyDescent="0.25"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</row>
    <row r="439" spans="2:14" ht="14.25" customHeight="1" x14ac:dyDescent="0.25"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</row>
    <row r="440" spans="2:14" ht="14.25" customHeight="1" x14ac:dyDescent="0.25"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</row>
    <row r="441" spans="2:14" ht="14.25" customHeight="1" x14ac:dyDescent="0.25"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</row>
    <row r="442" spans="2:14" ht="14.25" customHeight="1" x14ac:dyDescent="0.25"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</row>
    <row r="443" spans="2:14" ht="14.25" customHeight="1" x14ac:dyDescent="0.25"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</row>
    <row r="444" spans="2:14" ht="14.25" customHeight="1" x14ac:dyDescent="0.25"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</row>
    <row r="445" spans="2:14" ht="14.25" customHeight="1" x14ac:dyDescent="0.25"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</row>
    <row r="446" spans="2:14" ht="14.25" customHeight="1" x14ac:dyDescent="0.25"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</row>
    <row r="447" spans="2:14" ht="14.25" customHeight="1" x14ac:dyDescent="0.25"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</row>
    <row r="448" spans="2:14" ht="14.25" customHeight="1" x14ac:dyDescent="0.25"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</row>
    <row r="449" spans="2:14" ht="14.25" customHeight="1" x14ac:dyDescent="0.25"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</row>
    <row r="450" spans="2:14" ht="14.25" customHeight="1" x14ac:dyDescent="0.25"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</row>
    <row r="451" spans="2:14" ht="14.25" customHeight="1" x14ac:dyDescent="0.25"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</row>
    <row r="452" spans="2:14" ht="14.25" customHeight="1" x14ac:dyDescent="0.25"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</row>
    <row r="453" spans="2:14" ht="14.25" customHeight="1" x14ac:dyDescent="0.25"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</row>
    <row r="454" spans="2:14" ht="14.25" customHeight="1" x14ac:dyDescent="0.25"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</row>
    <row r="455" spans="2:14" ht="14.25" customHeight="1" x14ac:dyDescent="0.25"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</row>
    <row r="456" spans="2:14" ht="14.25" customHeight="1" x14ac:dyDescent="0.25"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</row>
    <row r="457" spans="2:14" ht="14.25" customHeight="1" x14ac:dyDescent="0.25"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</row>
    <row r="458" spans="2:14" ht="14.25" customHeight="1" x14ac:dyDescent="0.25"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</row>
    <row r="459" spans="2:14" ht="14.25" customHeight="1" x14ac:dyDescent="0.25"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</row>
    <row r="460" spans="2:14" ht="14.25" customHeight="1" x14ac:dyDescent="0.25"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</row>
    <row r="461" spans="2:14" ht="14.25" customHeight="1" x14ac:dyDescent="0.25"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</row>
    <row r="462" spans="2:14" ht="14.25" customHeight="1" x14ac:dyDescent="0.25"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</row>
    <row r="463" spans="2:14" ht="14.25" customHeight="1" x14ac:dyDescent="0.25"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</row>
    <row r="464" spans="2:14" ht="14.25" customHeight="1" x14ac:dyDescent="0.25"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</row>
    <row r="465" spans="2:14" ht="14.25" customHeight="1" x14ac:dyDescent="0.25"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</row>
    <row r="466" spans="2:14" ht="14.25" customHeight="1" x14ac:dyDescent="0.25"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</row>
    <row r="467" spans="2:14" ht="14.25" customHeight="1" x14ac:dyDescent="0.25"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</row>
    <row r="468" spans="2:14" ht="14.25" customHeight="1" x14ac:dyDescent="0.25"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</row>
    <row r="469" spans="2:14" ht="14.25" customHeight="1" x14ac:dyDescent="0.25"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</row>
    <row r="470" spans="2:14" ht="14.25" customHeight="1" x14ac:dyDescent="0.25"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</row>
    <row r="471" spans="2:14" ht="14.25" customHeight="1" x14ac:dyDescent="0.25"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</row>
    <row r="472" spans="2:14" ht="14.25" customHeight="1" x14ac:dyDescent="0.25"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</row>
    <row r="473" spans="2:14" ht="14.25" customHeight="1" x14ac:dyDescent="0.25"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</row>
    <row r="474" spans="2:14" ht="14.25" customHeight="1" x14ac:dyDescent="0.25"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</row>
    <row r="475" spans="2:14" ht="14.25" customHeight="1" x14ac:dyDescent="0.25"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</row>
    <row r="476" spans="2:14" ht="14.25" customHeight="1" x14ac:dyDescent="0.25"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</row>
    <row r="477" spans="2:14" ht="14.25" customHeight="1" x14ac:dyDescent="0.25"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</row>
    <row r="478" spans="2:14" ht="14.25" customHeight="1" x14ac:dyDescent="0.25"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</row>
    <row r="479" spans="2:14" ht="14.25" customHeight="1" x14ac:dyDescent="0.25"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</row>
    <row r="480" spans="2:14" ht="14.25" customHeight="1" x14ac:dyDescent="0.25"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</row>
    <row r="481" spans="2:14" ht="14.25" customHeight="1" x14ac:dyDescent="0.25"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</row>
    <row r="482" spans="2:14" ht="14.25" customHeight="1" x14ac:dyDescent="0.25"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</row>
    <row r="483" spans="2:14" ht="14.25" customHeight="1" x14ac:dyDescent="0.25"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</row>
    <row r="484" spans="2:14" ht="14.25" customHeight="1" x14ac:dyDescent="0.25"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</row>
    <row r="485" spans="2:14" ht="14.25" customHeight="1" x14ac:dyDescent="0.25"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</row>
    <row r="486" spans="2:14" ht="14.25" customHeight="1" x14ac:dyDescent="0.25"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</row>
    <row r="487" spans="2:14" ht="14.25" customHeight="1" x14ac:dyDescent="0.25"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</row>
    <row r="488" spans="2:14" ht="14.25" customHeight="1" x14ac:dyDescent="0.25"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</row>
    <row r="489" spans="2:14" ht="14.25" customHeight="1" x14ac:dyDescent="0.25"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</row>
    <row r="490" spans="2:14" ht="14.25" customHeight="1" x14ac:dyDescent="0.25"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</row>
    <row r="491" spans="2:14" ht="14.25" customHeight="1" x14ac:dyDescent="0.25"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</row>
    <row r="492" spans="2:14" ht="14.25" customHeight="1" x14ac:dyDescent="0.25"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</row>
    <row r="493" spans="2:14" ht="14.25" customHeight="1" x14ac:dyDescent="0.25"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</row>
    <row r="494" spans="2:14" ht="14.25" customHeight="1" x14ac:dyDescent="0.25"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</row>
    <row r="495" spans="2:14" ht="14.25" customHeight="1" x14ac:dyDescent="0.25"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</row>
    <row r="496" spans="2:14" ht="14.25" customHeight="1" x14ac:dyDescent="0.25"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</row>
    <row r="497" spans="2:14" ht="14.25" customHeight="1" x14ac:dyDescent="0.25"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</row>
    <row r="498" spans="2:14" ht="14.25" customHeight="1" x14ac:dyDescent="0.25"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</row>
    <row r="499" spans="2:14" ht="14.25" customHeight="1" x14ac:dyDescent="0.25"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</row>
    <row r="500" spans="2:14" ht="14.25" customHeight="1" x14ac:dyDescent="0.25"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</row>
    <row r="501" spans="2:14" ht="14.25" customHeight="1" x14ac:dyDescent="0.25"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</row>
    <row r="502" spans="2:14" ht="14.25" customHeight="1" x14ac:dyDescent="0.25"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</row>
    <row r="503" spans="2:14" ht="14.25" customHeight="1" x14ac:dyDescent="0.25"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</row>
    <row r="504" spans="2:14" ht="14.25" customHeight="1" x14ac:dyDescent="0.25"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</row>
    <row r="505" spans="2:14" ht="14.25" customHeight="1" x14ac:dyDescent="0.25"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</row>
    <row r="506" spans="2:14" ht="14.25" customHeight="1" x14ac:dyDescent="0.25"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</row>
    <row r="507" spans="2:14" ht="14.25" customHeight="1" x14ac:dyDescent="0.25"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</row>
    <row r="508" spans="2:14" ht="14.25" customHeight="1" x14ac:dyDescent="0.25"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</row>
    <row r="509" spans="2:14" ht="14.25" customHeight="1" x14ac:dyDescent="0.25"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</row>
    <row r="510" spans="2:14" ht="14.25" customHeight="1" x14ac:dyDescent="0.25"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</row>
    <row r="511" spans="2:14" ht="14.25" customHeight="1" x14ac:dyDescent="0.25"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</row>
    <row r="512" spans="2:14" ht="14.25" customHeight="1" x14ac:dyDescent="0.25"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</row>
    <row r="513" spans="2:14" ht="14.25" customHeight="1" x14ac:dyDescent="0.25"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</row>
    <row r="514" spans="2:14" ht="14.25" customHeight="1" x14ac:dyDescent="0.25"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</row>
    <row r="515" spans="2:14" ht="14.25" customHeight="1" x14ac:dyDescent="0.25"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</row>
    <row r="516" spans="2:14" ht="14.25" customHeight="1" x14ac:dyDescent="0.25"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</row>
    <row r="517" spans="2:14" ht="14.25" customHeight="1" x14ac:dyDescent="0.25"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</row>
    <row r="518" spans="2:14" ht="14.25" customHeight="1" x14ac:dyDescent="0.25"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</row>
    <row r="519" spans="2:14" ht="14.25" customHeight="1" x14ac:dyDescent="0.25"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</row>
    <row r="520" spans="2:14" ht="14.25" customHeight="1" x14ac:dyDescent="0.25"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</row>
    <row r="521" spans="2:14" ht="14.25" customHeight="1" x14ac:dyDescent="0.25"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</row>
    <row r="522" spans="2:14" ht="14.25" customHeight="1" x14ac:dyDescent="0.25"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</row>
    <row r="523" spans="2:14" ht="14.25" customHeight="1" x14ac:dyDescent="0.25"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</row>
    <row r="524" spans="2:14" ht="14.25" customHeight="1" x14ac:dyDescent="0.25"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</row>
    <row r="525" spans="2:14" ht="14.25" customHeight="1" x14ac:dyDescent="0.25"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</row>
    <row r="526" spans="2:14" ht="14.25" customHeight="1" x14ac:dyDescent="0.25"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</row>
    <row r="527" spans="2:14" ht="14.25" customHeight="1" x14ac:dyDescent="0.25"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</row>
    <row r="528" spans="2:14" ht="14.25" customHeight="1" x14ac:dyDescent="0.25"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</row>
    <row r="529" spans="2:14" ht="14.25" customHeight="1" x14ac:dyDescent="0.25"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</row>
    <row r="530" spans="2:14" ht="14.25" customHeight="1" x14ac:dyDescent="0.25"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</row>
    <row r="531" spans="2:14" ht="14.25" customHeight="1" x14ac:dyDescent="0.25"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</row>
    <row r="532" spans="2:14" ht="14.25" customHeight="1" x14ac:dyDescent="0.25"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</row>
    <row r="533" spans="2:14" ht="14.25" customHeight="1" x14ac:dyDescent="0.25"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</row>
    <row r="534" spans="2:14" ht="14.25" customHeight="1" x14ac:dyDescent="0.25"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</row>
    <row r="535" spans="2:14" ht="14.25" customHeight="1" x14ac:dyDescent="0.25"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</row>
    <row r="536" spans="2:14" ht="14.25" customHeight="1" x14ac:dyDescent="0.25"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</row>
    <row r="537" spans="2:14" ht="14.25" customHeight="1" x14ac:dyDescent="0.25"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</row>
    <row r="538" spans="2:14" ht="14.25" customHeight="1" x14ac:dyDescent="0.25"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</row>
    <row r="539" spans="2:14" ht="14.25" customHeight="1" x14ac:dyDescent="0.25"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</row>
    <row r="540" spans="2:14" ht="14.25" customHeight="1" x14ac:dyDescent="0.25"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</row>
    <row r="541" spans="2:14" ht="14.25" customHeight="1" x14ac:dyDescent="0.25"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</row>
    <row r="542" spans="2:14" ht="14.25" customHeight="1" x14ac:dyDescent="0.25"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</row>
    <row r="543" spans="2:14" ht="14.25" customHeight="1" x14ac:dyDescent="0.25"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</row>
    <row r="544" spans="2:14" ht="14.25" customHeight="1" x14ac:dyDescent="0.25"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</row>
    <row r="545" spans="2:14" ht="14.25" customHeight="1" x14ac:dyDescent="0.25"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</row>
    <row r="546" spans="2:14" ht="14.25" customHeight="1" x14ac:dyDescent="0.25"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</row>
    <row r="547" spans="2:14" ht="14.25" customHeight="1" x14ac:dyDescent="0.25"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</row>
    <row r="548" spans="2:14" ht="14.25" customHeight="1" x14ac:dyDescent="0.25"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</row>
    <row r="549" spans="2:14" ht="14.25" customHeight="1" x14ac:dyDescent="0.25"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</row>
    <row r="550" spans="2:14" ht="14.25" customHeight="1" x14ac:dyDescent="0.25"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</row>
    <row r="551" spans="2:14" ht="14.25" customHeight="1" x14ac:dyDescent="0.25"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</row>
    <row r="552" spans="2:14" ht="14.25" customHeight="1" x14ac:dyDescent="0.25"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</row>
    <row r="553" spans="2:14" ht="14.25" customHeight="1" x14ac:dyDescent="0.25"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</row>
    <row r="554" spans="2:14" ht="14.25" customHeight="1" x14ac:dyDescent="0.25"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</row>
    <row r="555" spans="2:14" ht="14.25" customHeight="1" x14ac:dyDescent="0.25"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</row>
    <row r="556" spans="2:14" ht="14.25" customHeight="1" x14ac:dyDescent="0.25"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</row>
    <row r="557" spans="2:14" ht="14.25" customHeight="1" x14ac:dyDescent="0.25"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</row>
    <row r="558" spans="2:14" ht="14.25" customHeight="1" x14ac:dyDescent="0.25"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</row>
    <row r="559" spans="2:14" ht="14.25" customHeight="1" x14ac:dyDescent="0.25"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</row>
    <row r="560" spans="2:14" ht="14.25" customHeight="1" x14ac:dyDescent="0.25"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</row>
    <row r="561" spans="2:14" ht="14.25" customHeight="1" x14ac:dyDescent="0.25"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</row>
    <row r="562" spans="2:14" ht="14.25" customHeight="1" x14ac:dyDescent="0.25"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</row>
    <row r="563" spans="2:14" ht="14.25" customHeight="1" x14ac:dyDescent="0.25"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</row>
    <row r="564" spans="2:14" ht="14.25" customHeight="1" x14ac:dyDescent="0.25"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</row>
    <row r="565" spans="2:14" ht="14.25" customHeight="1" x14ac:dyDescent="0.25"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</row>
    <row r="566" spans="2:14" ht="14.25" customHeight="1" x14ac:dyDescent="0.25"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</row>
    <row r="567" spans="2:14" ht="14.25" customHeight="1" x14ac:dyDescent="0.25"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</row>
    <row r="568" spans="2:14" ht="14.25" customHeight="1" x14ac:dyDescent="0.25"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</row>
    <row r="569" spans="2:14" ht="14.25" customHeight="1" x14ac:dyDescent="0.25"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</row>
    <row r="570" spans="2:14" ht="14.25" customHeight="1" x14ac:dyDescent="0.25"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</row>
    <row r="571" spans="2:14" ht="14.25" customHeight="1" x14ac:dyDescent="0.25"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</row>
    <row r="572" spans="2:14" ht="14.25" customHeight="1" x14ac:dyDescent="0.25"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</row>
    <row r="573" spans="2:14" ht="14.25" customHeight="1" x14ac:dyDescent="0.25"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</row>
    <row r="574" spans="2:14" ht="14.25" customHeight="1" x14ac:dyDescent="0.25"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</row>
    <row r="575" spans="2:14" ht="14.25" customHeight="1" x14ac:dyDescent="0.25"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</row>
    <row r="576" spans="2:14" ht="14.25" customHeight="1" x14ac:dyDescent="0.25"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</row>
    <row r="577" spans="2:14" ht="14.25" customHeight="1" x14ac:dyDescent="0.25"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</row>
    <row r="578" spans="2:14" ht="14.25" customHeight="1" x14ac:dyDescent="0.25"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</row>
    <row r="579" spans="2:14" ht="14.25" customHeight="1" x14ac:dyDescent="0.25"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</row>
    <row r="580" spans="2:14" ht="14.25" customHeight="1" x14ac:dyDescent="0.25"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</row>
    <row r="581" spans="2:14" ht="14.25" customHeight="1" x14ac:dyDescent="0.25"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</row>
    <row r="582" spans="2:14" ht="14.25" customHeight="1" x14ac:dyDescent="0.25"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</row>
    <row r="583" spans="2:14" ht="14.25" customHeight="1" x14ac:dyDescent="0.25"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</row>
    <row r="584" spans="2:14" ht="14.25" customHeight="1" x14ac:dyDescent="0.25"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</row>
    <row r="585" spans="2:14" ht="14.25" customHeight="1" x14ac:dyDescent="0.25"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</row>
    <row r="586" spans="2:14" ht="14.25" customHeight="1" x14ac:dyDescent="0.25"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</row>
    <row r="587" spans="2:14" ht="14.25" customHeight="1" x14ac:dyDescent="0.25"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</row>
    <row r="588" spans="2:14" ht="14.25" customHeight="1" x14ac:dyDescent="0.25"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</row>
    <row r="589" spans="2:14" ht="14.25" customHeight="1" x14ac:dyDescent="0.25"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</row>
    <row r="590" spans="2:14" ht="14.25" customHeight="1" x14ac:dyDescent="0.25"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</row>
    <row r="591" spans="2:14" ht="14.25" customHeight="1" x14ac:dyDescent="0.25"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</row>
    <row r="592" spans="2:14" ht="14.25" customHeight="1" x14ac:dyDescent="0.25"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</row>
    <row r="593" spans="2:14" ht="14.25" customHeight="1" x14ac:dyDescent="0.25"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</row>
    <row r="594" spans="2:14" ht="14.25" customHeight="1" x14ac:dyDescent="0.25"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</row>
    <row r="595" spans="2:14" ht="14.25" customHeight="1" x14ac:dyDescent="0.25"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</row>
    <row r="596" spans="2:14" ht="14.25" customHeight="1" x14ac:dyDescent="0.25"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</row>
    <row r="597" spans="2:14" ht="14.25" customHeight="1" x14ac:dyDescent="0.25"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</row>
    <row r="598" spans="2:14" ht="14.25" customHeight="1" x14ac:dyDescent="0.25"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</row>
    <row r="599" spans="2:14" ht="14.25" customHeight="1" x14ac:dyDescent="0.25"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</row>
    <row r="600" spans="2:14" ht="14.25" customHeight="1" x14ac:dyDescent="0.25"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</row>
    <row r="601" spans="2:14" ht="14.25" customHeight="1" x14ac:dyDescent="0.25"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</row>
    <row r="602" spans="2:14" ht="14.25" customHeight="1" x14ac:dyDescent="0.25"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</row>
    <row r="603" spans="2:14" ht="14.25" customHeight="1" x14ac:dyDescent="0.25"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</row>
    <row r="604" spans="2:14" ht="14.25" customHeight="1" x14ac:dyDescent="0.25"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</row>
    <row r="605" spans="2:14" ht="14.25" customHeight="1" x14ac:dyDescent="0.25"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</row>
    <row r="606" spans="2:14" ht="14.25" customHeight="1" x14ac:dyDescent="0.25"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</row>
    <row r="607" spans="2:14" ht="14.25" customHeight="1" x14ac:dyDescent="0.25"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</row>
    <row r="608" spans="2:14" ht="14.25" customHeight="1" x14ac:dyDescent="0.25"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</row>
    <row r="609" spans="2:14" ht="14.25" customHeight="1" x14ac:dyDescent="0.25"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</row>
    <row r="610" spans="2:14" ht="14.25" customHeight="1" x14ac:dyDescent="0.25"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</row>
    <row r="611" spans="2:14" ht="14.25" customHeight="1" x14ac:dyDescent="0.25"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</row>
    <row r="612" spans="2:14" ht="14.25" customHeight="1" x14ac:dyDescent="0.25"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</row>
    <row r="613" spans="2:14" ht="14.25" customHeight="1" x14ac:dyDescent="0.25"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</row>
    <row r="614" spans="2:14" ht="14.25" customHeight="1" x14ac:dyDescent="0.25"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</row>
    <row r="615" spans="2:14" ht="14.25" customHeight="1" x14ac:dyDescent="0.25"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</row>
    <row r="616" spans="2:14" ht="14.25" customHeight="1" x14ac:dyDescent="0.25"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</row>
    <row r="617" spans="2:14" ht="14.25" customHeight="1" x14ac:dyDescent="0.25"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</row>
    <row r="618" spans="2:14" ht="14.25" customHeight="1" x14ac:dyDescent="0.25"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</row>
    <row r="619" spans="2:14" ht="14.25" customHeight="1" x14ac:dyDescent="0.25"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</row>
    <row r="620" spans="2:14" ht="14.25" customHeight="1" x14ac:dyDescent="0.25"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</row>
    <row r="621" spans="2:14" ht="14.25" customHeight="1" x14ac:dyDescent="0.25"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</row>
    <row r="622" spans="2:14" ht="14.25" customHeight="1" x14ac:dyDescent="0.25"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</row>
    <row r="623" spans="2:14" ht="14.25" customHeight="1" x14ac:dyDescent="0.25"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</row>
    <row r="624" spans="2:14" ht="14.25" customHeight="1" x14ac:dyDescent="0.25"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</row>
    <row r="625" spans="2:14" ht="14.25" customHeight="1" x14ac:dyDescent="0.25"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</row>
    <row r="626" spans="2:14" ht="14.25" customHeight="1" x14ac:dyDescent="0.25"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</row>
    <row r="627" spans="2:14" ht="14.25" customHeight="1" x14ac:dyDescent="0.25"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</row>
    <row r="628" spans="2:14" ht="14.25" customHeight="1" x14ac:dyDescent="0.25"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</row>
    <row r="629" spans="2:14" ht="14.25" customHeight="1" x14ac:dyDescent="0.25"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</row>
    <row r="630" spans="2:14" ht="14.25" customHeight="1" x14ac:dyDescent="0.25"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</row>
    <row r="631" spans="2:14" ht="14.25" customHeight="1" x14ac:dyDescent="0.25"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</row>
    <row r="632" spans="2:14" ht="14.25" customHeight="1" x14ac:dyDescent="0.25"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</row>
    <row r="633" spans="2:14" ht="14.25" customHeight="1" x14ac:dyDescent="0.25"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</row>
    <row r="634" spans="2:14" ht="14.25" customHeight="1" x14ac:dyDescent="0.25"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</row>
    <row r="635" spans="2:14" ht="14.25" customHeight="1" x14ac:dyDescent="0.25"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</row>
    <row r="636" spans="2:14" ht="14.25" customHeight="1" x14ac:dyDescent="0.25"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</row>
    <row r="637" spans="2:14" ht="14.25" customHeight="1" x14ac:dyDescent="0.25"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</row>
    <row r="638" spans="2:14" ht="14.25" customHeight="1" x14ac:dyDescent="0.25"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</row>
    <row r="639" spans="2:14" ht="14.25" customHeight="1" x14ac:dyDescent="0.25"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</row>
    <row r="640" spans="2:14" ht="14.25" customHeight="1" x14ac:dyDescent="0.25"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</row>
    <row r="641" spans="2:14" ht="14.25" customHeight="1" x14ac:dyDescent="0.25"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</row>
    <row r="642" spans="2:14" ht="14.25" customHeight="1" x14ac:dyDescent="0.25"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</row>
    <row r="643" spans="2:14" ht="14.25" customHeight="1" x14ac:dyDescent="0.25"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</row>
    <row r="644" spans="2:14" ht="14.25" customHeight="1" x14ac:dyDescent="0.25"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</row>
    <row r="645" spans="2:14" ht="14.25" customHeight="1" x14ac:dyDescent="0.25"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</row>
    <row r="646" spans="2:14" ht="14.25" customHeight="1" x14ac:dyDescent="0.25"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</row>
    <row r="647" spans="2:14" ht="14.25" customHeight="1" x14ac:dyDescent="0.25"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</row>
    <row r="648" spans="2:14" ht="14.25" customHeight="1" x14ac:dyDescent="0.25"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</row>
    <row r="649" spans="2:14" ht="14.25" customHeight="1" x14ac:dyDescent="0.25"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</row>
    <row r="650" spans="2:14" ht="14.25" customHeight="1" x14ac:dyDescent="0.25"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</row>
    <row r="651" spans="2:14" ht="14.25" customHeight="1" x14ac:dyDescent="0.25"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</row>
    <row r="652" spans="2:14" ht="14.25" customHeight="1" x14ac:dyDescent="0.25"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</row>
    <row r="653" spans="2:14" ht="14.25" customHeight="1" x14ac:dyDescent="0.25"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</row>
    <row r="654" spans="2:14" ht="14.25" customHeight="1" x14ac:dyDescent="0.25"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</row>
    <row r="655" spans="2:14" ht="14.25" customHeight="1" x14ac:dyDescent="0.25"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</row>
    <row r="656" spans="2:14" ht="14.25" customHeight="1" x14ac:dyDescent="0.25"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</row>
    <row r="657" spans="2:14" ht="14.25" customHeight="1" x14ac:dyDescent="0.25"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</row>
    <row r="658" spans="2:14" ht="14.25" customHeight="1" x14ac:dyDescent="0.25"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</row>
    <row r="659" spans="2:14" ht="14.25" customHeight="1" x14ac:dyDescent="0.25"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</row>
    <row r="660" spans="2:14" ht="14.25" customHeight="1" x14ac:dyDescent="0.25"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</row>
    <row r="661" spans="2:14" ht="14.25" customHeight="1" x14ac:dyDescent="0.25"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</row>
    <row r="662" spans="2:14" ht="14.25" customHeight="1" x14ac:dyDescent="0.25"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</row>
    <row r="663" spans="2:14" ht="14.25" customHeight="1" x14ac:dyDescent="0.25"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</row>
    <row r="664" spans="2:14" ht="14.25" customHeight="1" x14ac:dyDescent="0.25"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</row>
    <row r="665" spans="2:14" ht="14.25" customHeight="1" x14ac:dyDescent="0.25"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</row>
    <row r="666" spans="2:14" ht="14.25" customHeight="1" x14ac:dyDescent="0.25"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</row>
    <row r="667" spans="2:14" ht="14.25" customHeight="1" x14ac:dyDescent="0.25"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</row>
    <row r="668" spans="2:14" ht="14.25" customHeight="1" x14ac:dyDescent="0.25"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</row>
    <row r="669" spans="2:14" ht="14.25" customHeight="1" x14ac:dyDescent="0.25"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</row>
    <row r="670" spans="2:14" ht="14.25" customHeight="1" x14ac:dyDescent="0.25"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</row>
    <row r="671" spans="2:14" ht="14.25" customHeight="1" x14ac:dyDescent="0.25"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</row>
    <row r="672" spans="2:14" ht="14.25" customHeight="1" x14ac:dyDescent="0.25"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</row>
    <row r="673" spans="2:14" ht="14.25" customHeight="1" x14ac:dyDescent="0.25"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</row>
    <row r="674" spans="2:14" ht="14.25" customHeight="1" x14ac:dyDescent="0.25"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</row>
    <row r="675" spans="2:14" ht="14.25" customHeight="1" x14ac:dyDescent="0.25"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</row>
    <row r="676" spans="2:14" ht="14.25" customHeight="1" x14ac:dyDescent="0.25"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</row>
    <row r="677" spans="2:14" ht="14.25" customHeight="1" x14ac:dyDescent="0.25"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</row>
    <row r="678" spans="2:14" ht="14.25" customHeight="1" x14ac:dyDescent="0.25"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</row>
    <row r="679" spans="2:14" ht="14.25" customHeight="1" x14ac:dyDescent="0.25"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</row>
    <row r="680" spans="2:14" ht="14.25" customHeight="1" x14ac:dyDescent="0.25"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</row>
    <row r="681" spans="2:14" ht="14.25" customHeight="1" x14ac:dyDescent="0.25"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</row>
    <row r="682" spans="2:14" ht="14.25" customHeight="1" x14ac:dyDescent="0.25"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</row>
    <row r="683" spans="2:14" ht="14.25" customHeight="1" x14ac:dyDescent="0.25"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</row>
    <row r="684" spans="2:14" ht="14.25" customHeight="1" x14ac:dyDescent="0.25"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</row>
    <row r="685" spans="2:14" ht="14.25" customHeight="1" x14ac:dyDescent="0.25"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</row>
    <row r="686" spans="2:14" ht="14.25" customHeight="1" x14ac:dyDescent="0.25"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</row>
    <row r="687" spans="2:14" ht="14.25" customHeight="1" x14ac:dyDescent="0.25"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</row>
    <row r="688" spans="2:14" ht="14.25" customHeight="1" x14ac:dyDescent="0.25"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</row>
    <row r="689" spans="2:14" ht="14.25" customHeight="1" x14ac:dyDescent="0.25"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</row>
    <row r="690" spans="2:14" ht="14.25" customHeight="1" x14ac:dyDescent="0.25"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</row>
    <row r="691" spans="2:14" ht="14.25" customHeight="1" x14ac:dyDescent="0.25"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</row>
    <row r="692" spans="2:14" ht="14.25" customHeight="1" x14ac:dyDescent="0.25"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</row>
    <row r="693" spans="2:14" ht="14.25" customHeight="1" x14ac:dyDescent="0.25"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</row>
    <row r="694" spans="2:14" ht="14.25" customHeight="1" x14ac:dyDescent="0.25"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</row>
    <row r="695" spans="2:14" ht="14.25" customHeight="1" x14ac:dyDescent="0.25"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</row>
    <row r="696" spans="2:14" ht="14.25" customHeight="1" x14ac:dyDescent="0.25"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</row>
    <row r="697" spans="2:14" ht="14.25" customHeight="1" x14ac:dyDescent="0.25"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</row>
    <row r="698" spans="2:14" ht="14.25" customHeight="1" x14ac:dyDescent="0.25"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</row>
    <row r="699" spans="2:14" ht="14.25" customHeight="1" x14ac:dyDescent="0.25"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</row>
    <row r="700" spans="2:14" ht="14.25" customHeight="1" x14ac:dyDescent="0.25"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</row>
    <row r="701" spans="2:14" ht="14.25" customHeight="1" x14ac:dyDescent="0.25"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</row>
    <row r="702" spans="2:14" ht="14.25" customHeight="1" x14ac:dyDescent="0.25"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</row>
    <row r="703" spans="2:14" ht="14.25" customHeight="1" x14ac:dyDescent="0.25"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</row>
    <row r="704" spans="2:14" ht="14.25" customHeight="1" x14ac:dyDescent="0.25"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</row>
    <row r="705" spans="2:14" ht="14.25" customHeight="1" x14ac:dyDescent="0.25"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</row>
    <row r="706" spans="2:14" ht="14.25" customHeight="1" x14ac:dyDescent="0.25"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</row>
    <row r="707" spans="2:14" ht="14.25" customHeight="1" x14ac:dyDescent="0.25"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</row>
    <row r="708" spans="2:14" ht="14.25" customHeight="1" x14ac:dyDescent="0.25"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</row>
    <row r="709" spans="2:14" ht="14.25" customHeight="1" x14ac:dyDescent="0.25"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</row>
    <row r="710" spans="2:14" ht="14.25" customHeight="1" x14ac:dyDescent="0.25"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</row>
    <row r="711" spans="2:14" ht="14.25" customHeight="1" x14ac:dyDescent="0.25"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</row>
    <row r="712" spans="2:14" ht="14.25" customHeight="1" x14ac:dyDescent="0.25"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</row>
    <row r="713" spans="2:14" ht="14.25" customHeight="1" x14ac:dyDescent="0.25"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</row>
    <row r="714" spans="2:14" ht="14.25" customHeight="1" x14ac:dyDescent="0.25"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</row>
    <row r="715" spans="2:14" ht="14.25" customHeight="1" x14ac:dyDescent="0.25"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</row>
    <row r="716" spans="2:14" ht="14.25" customHeight="1" x14ac:dyDescent="0.25"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</row>
    <row r="717" spans="2:14" ht="14.25" customHeight="1" x14ac:dyDescent="0.25"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</row>
    <row r="718" spans="2:14" ht="14.25" customHeight="1" x14ac:dyDescent="0.25"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</row>
    <row r="719" spans="2:14" ht="14.25" customHeight="1" x14ac:dyDescent="0.25"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</row>
    <row r="720" spans="2:14" ht="14.25" customHeight="1" x14ac:dyDescent="0.25"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</row>
    <row r="721" spans="2:14" ht="14.25" customHeight="1" x14ac:dyDescent="0.25"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</row>
    <row r="722" spans="2:14" ht="14.25" customHeight="1" x14ac:dyDescent="0.25"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</row>
    <row r="723" spans="2:14" ht="14.25" customHeight="1" x14ac:dyDescent="0.25"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</row>
    <row r="724" spans="2:14" ht="14.25" customHeight="1" x14ac:dyDescent="0.25"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</row>
    <row r="725" spans="2:14" ht="14.25" customHeight="1" x14ac:dyDescent="0.25"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</row>
    <row r="726" spans="2:14" ht="14.25" customHeight="1" x14ac:dyDescent="0.25"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</row>
    <row r="727" spans="2:14" ht="14.25" customHeight="1" x14ac:dyDescent="0.25"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</row>
    <row r="728" spans="2:14" ht="14.25" customHeight="1" x14ac:dyDescent="0.25"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</row>
    <row r="729" spans="2:14" ht="14.25" customHeight="1" x14ac:dyDescent="0.25"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</row>
    <row r="730" spans="2:14" ht="14.25" customHeight="1" x14ac:dyDescent="0.25"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</row>
    <row r="731" spans="2:14" ht="14.25" customHeight="1" x14ac:dyDescent="0.25"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</row>
    <row r="732" spans="2:14" ht="14.25" customHeight="1" x14ac:dyDescent="0.25"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</row>
    <row r="733" spans="2:14" ht="14.25" customHeight="1" x14ac:dyDescent="0.25"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</row>
    <row r="734" spans="2:14" ht="14.25" customHeight="1" x14ac:dyDescent="0.25"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</row>
    <row r="735" spans="2:14" ht="14.25" customHeight="1" x14ac:dyDescent="0.25"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</row>
    <row r="736" spans="2:14" ht="14.25" customHeight="1" x14ac:dyDescent="0.25"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</row>
    <row r="737" spans="2:14" ht="14.25" customHeight="1" x14ac:dyDescent="0.25"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</row>
    <row r="738" spans="2:14" ht="14.25" customHeight="1" x14ac:dyDescent="0.25"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</row>
    <row r="739" spans="2:14" ht="14.25" customHeight="1" x14ac:dyDescent="0.25"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</row>
    <row r="740" spans="2:14" ht="14.25" customHeight="1" x14ac:dyDescent="0.25"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</row>
    <row r="741" spans="2:14" ht="14.25" customHeight="1" x14ac:dyDescent="0.25"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</row>
    <row r="742" spans="2:14" ht="14.25" customHeight="1" x14ac:dyDescent="0.25"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</row>
    <row r="743" spans="2:14" ht="14.25" customHeight="1" x14ac:dyDescent="0.25"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</row>
    <row r="744" spans="2:14" ht="14.25" customHeight="1" x14ac:dyDescent="0.25"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</row>
    <row r="745" spans="2:14" ht="14.25" customHeight="1" x14ac:dyDescent="0.25"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</row>
    <row r="746" spans="2:14" ht="14.25" customHeight="1" x14ac:dyDescent="0.25"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</row>
    <row r="747" spans="2:14" ht="14.25" customHeight="1" x14ac:dyDescent="0.25"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</row>
    <row r="748" spans="2:14" ht="14.25" customHeight="1" x14ac:dyDescent="0.25"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</row>
    <row r="749" spans="2:14" ht="14.25" customHeight="1" x14ac:dyDescent="0.25"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</row>
    <row r="750" spans="2:14" ht="14.25" customHeight="1" x14ac:dyDescent="0.25"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</row>
    <row r="751" spans="2:14" ht="14.25" customHeight="1" x14ac:dyDescent="0.25"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</row>
    <row r="752" spans="2:14" ht="14.25" customHeight="1" x14ac:dyDescent="0.25"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</row>
    <row r="753" spans="2:14" ht="14.25" customHeight="1" x14ac:dyDescent="0.25"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</row>
    <row r="754" spans="2:14" ht="14.25" customHeight="1" x14ac:dyDescent="0.25"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</row>
    <row r="755" spans="2:14" ht="14.25" customHeight="1" x14ac:dyDescent="0.25"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</row>
    <row r="756" spans="2:14" ht="14.25" customHeight="1" x14ac:dyDescent="0.25"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</row>
    <row r="757" spans="2:14" ht="14.25" customHeight="1" x14ac:dyDescent="0.25"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</row>
    <row r="758" spans="2:14" ht="14.25" customHeight="1" x14ac:dyDescent="0.25"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</row>
    <row r="759" spans="2:14" ht="14.25" customHeight="1" x14ac:dyDescent="0.25"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</row>
    <row r="760" spans="2:14" ht="14.25" customHeight="1" x14ac:dyDescent="0.25"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</row>
    <row r="761" spans="2:14" ht="14.25" customHeight="1" x14ac:dyDescent="0.25"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</row>
    <row r="762" spans="2:14" ht="14.25" customHeight="1" x14ac:dyDescent="0.25"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</row>
    <row r="763" spans="2:14" ht="14.25" customHeight="1" x14ac:dyDescent="0.25"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</row>
    <row r="764" spans="2:14" ht="14.25" customHeight="1" x14ac:dyDescent="0.25"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</row>
    <row r="765" spans="2:14" ht="14.25" customHeight="1" x14ac:dyDescent="0.25"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</row>
    <row r="766" spans="2:14" ht="14.25" customHeight="1" x14ac:dyDescent="0.25"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</row>
    <row r="767" spans="2:14" ht="14.25" customHeight="1" x14ac:dyDescent="0.25"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</row>
    <row r="768" spans="2:14" ht="14.25" customHeight="1" x14ac:dyDescent="0.25"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</row>
    <row r="769" spans="2:14" ht="14.25" customHeight="1" x14ac:dyDescent="0.25"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</row>
    <row r="770" spans="2:14" ht="14.25" customHeight="1" x14ac:dyDescent="0.25"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</row>
    <row r="771" spans="2:14" ht="14.25" customHeight="1" x14ac:dyDescent="0.25"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</row>
    <row r="772" spans="2:14" ht="14.25" customHeight="1" x14ac:dyDescent="0.25"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</row>
    <row r="773" spans="2:14" ht="14.25" customHeight="1" x14ac:dyDescent="0.25"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</row>
    <row r="774" spans="2:14" ht="14.25" customHeight="1" x14ac:dyDescent="0.25"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</row>
    <row r="775" spans="2:14" ht="14.25" customHeight="1" x14ac:dyDescent="0.25"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</row>
    <row r="776" spans="2:14" ht="14.25" customHeight="1" x14ac:dyDescent="0.25"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</row>
    <row r="777" spans="2:14" ht="14.25" customHeight="1" x14ac:dyDescent="0.25"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</row>
    <row r="778" spans="2:14" ht="14.25" customHeight="1" x14ac:dyDescent="0.25"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</row>
    <row r="779" spans="2:14" ht="14.25" customHeight="1" x14ac:dyDescent="0.25"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</row>
    <row r="780" spans="2:14" ht="14.25" customHeight="1" x14ac:dyDescent="0.25"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</row>
    <row r="781" spans="2:14" ht="14.25" customHeight="1" x14ac:dyDescent="0.25"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</row>
    <row r="782" spans="2:14" ht="14.25" customHeight="1" x14ac:dyDescent="0.25"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</row>
    <row r="783" spans="2:14" ht="14.25" customHeight="1" x14ac:dyDescent="0.25"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</row>
    <row r="784" spans="2:14" ht="14.25" customHeight="1" x14ac:dyDescent="0.25"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</row>
    <row r="785" spans="2:14" ht="14.25" customHeight="1" x14ac:dyDescent="0.25"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</row>
    <row r="786" spans="2:14" ht="14.25" customHeight="1" x14ac:dyDescent="0.25"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</row>
    <row r="787" spans="2:14" ht="14.25" customHeight="1" x14ac:dyDescent="0.25"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</row>
    <row r="788" spans="2:14" ht="14.25" customHeight="1" x14ac:dyDescent="0.25"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</row>
    <row r="789" spans="2:14" ht="14.25" customHeight="1" x14ac:dyDescent="0.25"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</row>
    <row r="790" spans="2:14" ht="14.25" customHeight="1" x14ac:dyDescent="0.25"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</row>
    <row r="791" spans="2:14" ht="14.25" customHeight="1" x14ac:dyDescent="0.25"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</row>
    <row r="792" spans="2:14" ht="14.25" customHeight="1" x14ac:dyDescent="0.25"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</row>
    <row r="793" spans="2:14" ht="14.25" customHeight="1" x14ac:dyDescent="0.25"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</row>
    <row r="794" spans="2:14" ht="14.25" customHeight="1" x14ac:dyDescent="0.25"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</row>
    <row r="795" spans="2:14" ht="14.25" customHeight="1" x14ac:dyDescent="0.25"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</row>
    <row r="796" spans="2:14" ht="14.25" customHeight="1" x14ac:dyDescent="0.25"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</row>
    <row r="797" spans="2:14" ht="14.25" customHeight="1" x14ac:dyDescent="0.25"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</row>
    <row r="798" spans="2:14" ht="14.25" customHeight="1" x14ac:dyDescent="0.25"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</row>
    <row r="799" spans="2:14" ht="14.25" customHeight="1" x14ac:dyDescent="0.25"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</row>
    <row r="800" spans="2:14" ht="14.25" customHeight="1" x14ac:dyDescent="0.25"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</row>
    <row r="801" spans="2:14" ht="14.25" customHeight="1" x14ac:dyDescent="0.25"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</row>
    <row r="802" spans="2:14" ht="14.25" customHeight="1" x14ac:dyDescent="0.25"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</row>
    <row r="803" spans="2:14" ht="14.25" customHeight="1" x14ac:dyDescent="0.25"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</row>
    <row r="804" spans="2:14" ht="14.25" customHeight="1" x14ac:dyDescent="0.25"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</row>
    <row r="805" spans="2:14" ht="14.25" customHeight="1" x14ac:dyDescent="0.25"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</row>
    <row r="806" spans="2:14" ht="14.25" customHeight="1" x14ac:dyDescent="0.25"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</row>
    <row r="807" spans="2:14" ht="14.25" customHeight="1" x14ac:dyDescent="0.25"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</row>
    <row r="808" spans="2:14" ht="14.25" customHeight="1" x14ac:dyDescent="0.25"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</row>
    <row r="809" spans="2:14" ht="14.25" customHeight="1" x14ac:dyDescent="0.25"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</row>
    <row r="810" spans="2:14" ht="14.25" customHeight="1" x14ac:dyDescent="0.25"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</row>
    <row r="811" spans="2:14" ht="14.25" customHeight="1" x14ac:dyDescent="0.25"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</row>
    <row r="812" spans="2:14" ht="14.25" customHeight="1" x14ac:dyDescent="0.25"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</row>
    <row r="813" spans="2:14" ht="14.25" customHeight="1" x14ac:dyDescent="0.25"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</row>
    <row r="814" spans="2:14" ht="14.25" customHeight="1" x14ac:dyDescent="0.25"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</row>
    <row r="815" spans="2:14" ht="14.25" customHeight="1" x14ac:dyDescent="0.25"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</row>
    <row r="816" spans="2:14" ht="14.25" customHeight="1" x14ac:dyDescent="0.25"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</row>
    <row r="817" spans="2:14" ht="14.25" customHeight="1" x14ac:dyDescent="0.25"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</row>
    <row r="818" spans="2:14" ht="14.25" customHeight="1" x14ac:dyDescent="0.25"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</row>
    <row r="819" spans="2:14" ht="14.25" customHeight="1" x14ac:dyDescent="0.25"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</row>
    <row r="820" spans="2:14" ht="14.25" customHeight="1" x14ac:dyDescent="0.25"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</row>
    <row r="821" spans="2:14" ht="14.25" customHeight="1" x14ac:dyDescent="0.25"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</row>
    <row r="822" spans="2:14" ht="14.25" customHeight="1" x14ac:dyDescent="0.25"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</row>
    <row r="823" spans="2:14" ht="14.25" customHeight="1" x14ac:dyDescent="0.25"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</row>
    <row r="824" spans="2:14" ht="14.25" customHeight="1" x14ac:dyDescent="0.25"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</row>
    <row r="825" spans="2:14" ht="14.25" customHeight="1" x14ac:dyDescent="0.25"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</row>
    <row r="826" spans="2:14" ht="14.25" customHeight="1" x14ac:dyDescent="0.25"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</row>
    <row r="827" spans="2:14" ht="14.25" customHeight="1" x14ac:dyDescent="0.25"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</row>
    <row r="828" spans="2:14" ht="14.25" customHeight="1" x14ac:dyDescent="0.25"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</row>
    <row r="829" spans="2:14" ht="14.25" customHeight="1" x14ac:dyDescent="0.25"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</row>
    <row r="830" spans="2:14" ht="14.25" customHeight="1" x14ac:dyDescent="0.25"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</row>
    <row r="831" spans="2:14" ht="14.25" customHeight="1" x14ac:dyDescent="0.25"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</row>
    <row r="832" spans="2:14" ht="14.25" customHeight="1" x14ac:dyDescent="0.25"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</row>
    <row r="833" spans="2:14" ht="14.25" customHeight="1" x14ac:dyDescent="0.25"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</row>
    <row r="834" spans="2:14" ht="14.25" customHeight="1" x14ac:dyDescent="0.25"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</row>
    <row r="835" spans="2:14" ht="14.25" customHeight="1" x14ac:dyDescent="0.25"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</row>
    <row r="836" spans="2:14" ht="14.25" customHeight="1" x14ac:dyDescent="0.25"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</row>
    <row r="837" spans="2:14" ht="14.25" customHeight="1" x14ac:dyDescent="0.25"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</row>
    <row r="838" spans="2:14" ht="14.25" customHeight="1" x14ac:dyDescent="0.25"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</row>
    <row r="839" spans="2:14" ht="14.25" customHeight="1" x14ac:dyDescent="0.25"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</row>
    <row r="840" spans="2:14" ht="14.25" customHeight="1" x14ac:dyDescent="0.25"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</row>
    <row r="841" spans="2:14" ht="14.25" customHeight="1" x14ac:dyDescent="0.25"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</row>
    <row r="842" spans="2:14" ht="14.25" customHeight="1" x14ac:dyDescent="0.25"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</row>
    <row r="843" spans="2:14" ht="14.25" customHeight="1" x14ac:dyDescent="0.25"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</row>
    <row r="844" spans="2:14" ht="14.25" customHeight="1" x14ac:dyDescent="0.25"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</row>
    <row r="845" spans="2:14" ht="14.25" customHeight="1" x14ac:dyDescent="0.25"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</row>
    <row r="846" spans="2:14" ht="14.25" customHeight="1" x14ac:dyDescent="0.25"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</row>
    <row r="847" spans="2:14" ht="14.25" customHeight="1" x14ac:dyDescent="0.25"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</row>
    <row r="848" spans="2:14" ht="14.25" customHeight="1" x14ac:dyDescent="0.25"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</row>
    <row r="849" spans="2:14" ht="14.25" customHeight="1" x14ac:dyDescent="0.25"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</row>
    <row r="850" spans="2:14" ht="14.25" customHeight="1" x14ac:dyDescent="0.25"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</row>
    <row r="851" spans="2:14" ht="14.25" customHeight="1" x14ac:dyDescent="0.25"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</row>
    <row r="852" spans="2:14" ht="14.25" customHeight="1" x14ac:dyDescent="0.25"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</row>
    <row r="853" spans="2:14" ht="14.25" customHeight="1" x14ac:dyDescent="0.25"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</row>
    <row r="854" spans="2:14" ht="14.25" customHeight="1" x14ac:dyDescent="0.25"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</row>
    <row r="855" spans="2:14" ht="14.25" customHeight="1" x14ac:dyDescent="0.25"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</row>
    <row r="856" spans="2:14" ht="14.25" customHeight="1" x14ac:dyDescent="0.25"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</row>
    <row r="857" spans="2:14" ht="14.25" customHeight="1" x14ac:dyDescent="0.25"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</row>
    <row r="858" spans="2:14" ht="14.25" customHeight="1" x14ac:dyDescent="0.25"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</row>
    <row r="859" spans="2:14" ht="14.25" customHeight="1" x14ac:dyDescent="0.25"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</row>
    <row r="860" spans="2:14" ht="14.25" customHeight="1" x14ac:dyDescent="0.25"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</row>
    <row r="861" spans="2:14" ht="14.25" customHeight="1" x14ac:dyDescent="0.25"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</row>
    <row r="862" spans="2:14" ht="14.25" customHeight="1" x14ac:dyDescent="0.25"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</row>
    <row r="863" spans="2:14" ht="14.25" customHeight="1" x14ac:dyDescent="0.25"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</row>
    <row r="864" spans="2:14" ht="14.25" customHeight="1" x14ac:dyDescent="0.25"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</row>
    <row r="865" spans="2:14" ht="14.25" customHeight="1" x14ac:dyDescent="0.25"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</row>
    <row r="866" spans="2:14" ht="14.25" customHeight="1" x14ac:dyDescent="0.25"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</row>
    <row r="867" spans="2:14" ht="14.25" customHeight="1" x14ac:dyDescent="0.25"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</row>
    <row r="868" spans="2:14" ht="14.25" customHeight="1" x14ac:dyDescent="0.25"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</row>
    <row r="869" spans="2:14" ht="14.25" customHeight="1" x14ac:dyDescent="0.25"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</row>
    <row r="870" spans="2:14" ht="14.25" customHeight="1" x14ac:dyDescent="0.25"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</row>
    <row r="871" spans="2:14" ht="14.25" customHeight="1" x14ac:dyDescent="0.25"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</row>
    <row r="872" spans="2:14" ht="14.25" customHeight="1" x14ac:dyDescent="0.25"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</row>
    <row r="873" spans="2:14" ht="14.25" customHeight="1" x14ac:dyDescent="0.25"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</row>
    <row r="874" spans="2:14" ht="14.25" customHeight="1" x14ac:dyDescent="0.25"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</row>
    <row r="875" spans="2:14" ht="14.25" customHeight="1" x14ac:dyDescent="0.25"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</row>
    <row r="876" spans="2:14" ht="14.25" customHeight="1" x14ac:dyDescent="0.25"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</row>
    <row r="877" spans="2:14" ht="14.25" customHeight="1" x14ac:dyDescent="0.25"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</row>
    <row r="878" spans="2:14" ht="14.25" customHeight="1" x14ac:dyDescent="0.25"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</row>
    <row r="879" spans="2:14" ht="14.25" customHeight="1" x14ac:dyDescent="0.25"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</row>
    <row r="880" spans="2:14" ht="14.25" customHeight="1" x14ac:dyDescent="0.25"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</row>
    <row r="881" spans="2:14" ht="14.25" customHeight="1" x14ac:dyDescent="0.25"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</row>
    <row r="882" spans="2:14" ht="14.25" customHeight="1" x14ac:dyDescent="0.25"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</row>
    <row r="883" spans="2:14" ht="14.25" customHeight="1" x14ac:dyDescent="0.25"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</row>
    <row r="884" spans="2:14" ht="14.25" customHeight="1" x14ac:dyDescent="0.25"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</row>
    <row r="885" spans="2:14" ht="14.25" customHeight="1" x14ac:dyDescent="0.25"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</row>
    <row r="886" spans="2:14" ht="14.25" customHeight="1" x14ac:dyDescent="0.25"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</row>
    <row r="887" spans="2:14" ht="14.25" customHeight="1" x14ac:dyDescent="0.25"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</row>
    <row r="888" spans="2:14" ht="14.25" customHeight="1" x14ac:dyDescent="0.25"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</row>
    <row r="889" spans="2:14" ht="14.25" customHeight="1" x14ac:dyDescent="0.25"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</row>
    <row r="890" spans="2:14" ht="14.25" customHeight="1" x14ac:dyDescent="0.25"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</row>
    <row r="891" spans="2:14" ht="14.25" customHeight="1" x14ac:dyDescent="0.25"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</row>
    <row r="892" spans="2:14" ht="14.25" customHeight="1" x14ac:dyDescent="0.25"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</row>
    <row r="893" spans="2:14" ht="14.25" customHeight="1" x14ac:dyDescent="0.25"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</row>
    <row r="894" spans="2:14" ht="14.25" customHeight="1" x14ac:dyDescent="0.25"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</row>
    <row r="895" spans="2:14" ht="14.25" customHeight="1" x14ac:dyDescent="0.25"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</row>
    <row r="896" spans="2:14" ht="14.25" customHeight="1" x14ac:dyDescent="0.25"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</row>
    <row r="897" spans="2:14" ht="14.25" customHeight="1" x14ac:dyDescent="0.25"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</row>
    <row r="898" spans="2:14" ht="14.25" customHeight="1" x14ac:dyDescent="0.25"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</row>
    <row r="899" spans="2:14" ht="14.25" customHeight="1" x14ac:dyDescent="0.25"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</row>
    <row r="900" spans="2:14" ht="14.25" customHeight="1" x14ac:dyDescent="0.25"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</row>
    <row r="901" spans="2:14" ht="14.25" customHeight="1" x14ac:dyDescent="0.25"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</row>
    <row r="902" spans="2:14" ht="14.25" customHeight="1" x14ac:dyDescent="0.25"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</row>
    <row r="903" spans="2:14" ht="14.25" customHeight="1" x14ac:dyDescent="0.25"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</row>
    <row r="904" spans="2:14" ht="14.25" customHeight="1" x14ac:dyDescent="0.25"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</row>
    <row r="905" spans="2:14" ht="14.25" customHeight="1" x14ac:dyDescent="0.25"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</row>
    <row r="906" spans="2:14" ht="14.25" customHeight="1" x14ac:dyDescent="0.25"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</row>
    <row r="907" spans="2:14" ht="14.25" customHeight="1" x14ac:dyDescent="0.25"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</row>
    <row r="908" spans="2:14" ht="14.25" customHeight="1" x14ac:dyDescent="0.25"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</row>
    <row r="909" spans="2:14" ht="14.25" customHeight="1" x14ac:dyDescent="0.25"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</row>
    <row r="910" spans="2:14" ht="14.25" customHeight="1" x14ac:dyDescent="0.25"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</row>
    <row r="911" spans="2:14" ht="14.25" customHeight="1" x14ac:dyDescent="0.25"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</row>
    <row r="912" spans="2:14" ht="14.25" customHeight="1" x14ac:dyDescent="0.25"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</row>
    <row r="913" spans="2:14" ht="14.25" customHeight="1" x14ac:dyDescent="0.25"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</row>
    <row r="914" spans="2:14" ht="14.25" customHeight="1" x14ac:dyDescent="0.25"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</row>
    <row r="915" spans="2:14" ht="14.25" customHeight="1" x14ac:dyDescent="0.25"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</row>
    <row r="916" spans="2:14" ht="14.25" customHeight="1" x14ac:dyDescent="0.25"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</row>
    <row r="917" spans="2:14" ht="14.25" customHeight="1" x14ac:dyDescent="0.25"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</row>
    <row r="918" spans="2:14" ht="14.25" customHeight="1" x14ac:dyDescent="0.25"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</row>
    <row r="919" spans="2:14" ht="14.25" customHeight="1" x14ac:dyDescent="0.25"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</row>
    <row r="920" spans="2:14" ht="14.25" customHeight="1" x14ac:dyDescent="0.25"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</row>
    <row r="921" spans="2:14" ht="14.25" customHeight="1" x14ac:dyDescent="0.25"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</row>
    <row r="922" spans="2:14" ht="14.25" customHeight="1" x14ac:dyDescent="0.25"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</row>
    <row r="923" spans="2:14" ht="14.25" customHeight="1" x14ac:dyDescent="0.25"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</row>
    <row r="924" spans="2:14" ht="14.25" customHeight="1" x14ac:dyDescent="0.25"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</row>
    <row r="925" spans="2:14" ht="14.25" customHeight="1" x14ac:dyDescent="0.25"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</row>
    <row r="926" spans="2:14" ht="14.25" customHeight="1" x14ac:dyDescent="0.25"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</row>
    <row r="927" spans="2:14" ht="14.25" customHeight="1" x14ac:dyDescent="0.25"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</row>
    <row r="928" spans="2:14" ht="14.25" customHeight="1" x14ac:dyDescent="0.25"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</row>
    <row r="929" spans="2:14" ht="14.25" customHeight="1" x14ac:dyDescent="0.25"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</row>
    <row r="930" spans="2:14" ht="14.25" customHeight="1" x14ac:dyDescent="0.25"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</row>
    <row r="931" spans="2:14" ht="14.25" customHeight="1" x14ac:dyDescent="0.25"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</row>
    <row r="932" spans="2:14" ht="14.25" customHeight="1" x14ac:dyDescent="0.25"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</row>
    <row r="933" spans="2:14" ht="14.25" customHeight="1" x14ac:dyDescent="0.25"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</row>
    <row r="934" spans="2:14" ht="14.25" customHeight="1" x14ac:dyDescent="0.25"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</row>
    <row r="935" spans="2:14" ht="14.25" customHeight="1" x14ac:dyDescent="0.25"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</row>
    <row r="936" spans="2:14" ht="14.25" customHeight="1" x14ac:dyDescent="0.25"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</row>
    <row r="937" spans="2:14" ht="14.25" customHeight="1" x14ac:dyDescent="0.25"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</row>
    <row r="938" spans="2:14" ht="14.25" customHeight="1" x14ac:dyDescent="0.25"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</row>
    <row r="939" spans="2:14" ht="14.25" customHeight="1" x14ac:dyDescent="0.25"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</row>
    <row r="940" spans="2:14" ht="14.25" customHeight="1" x14ac:dyDescent="0.25"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</row>
    <row r="941" spans="2:14" ht="14.25" customHeight="1" x14ac:dyDescent="0.25"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</row>
    <row r="942" spans="2:14" ht="14.25" customHeight="1" x14ac:dyDescent="0.25"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</row>
    <row r="943" spans="2:14" ht="14.25" customHeight="1" x14ac:dyDescent="0.25"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</row>
    <row r="944" spans="2:14" ht="14.25" customHeight="1" x14ac:dyDescent="0.25"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</row>
    <row r="945" spans="2:14" ht="14.25" customHeight="1" x14ac:dyDescent="0.25"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</row>
    <row r="946" spans="2:14" ht="14.25" customHeight="1" x14ac:dyDescent="0.25"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</row>
    <row r="947" spans="2:14" ht="14.25" customHeight="1" x14ac:dyDescent="0.25"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</row>
    <row r="948" spans="2:14" ht="14.25" customHeight="1" x14ac:dyDescent="0.25"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</row>
    <row r="949" spans="2:14" ht="14.25" customHeight="1" x14ac:dyDescent="0.25"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</row>
    <row r="950" spans="2:14" ht="14.25" customHeight="1" x14ac:dyDescent="0.25"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</row>
    <row r="951" spans="2:14" ht="14.25" customHeight="1" x14ac:dyDescent="0.25"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</row>
    <row r="952" spans="2:14" ht="14.25" customHeight="1" x14ac:dyDescent="0.25"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</row>
    <row r="953" spans="2:14" ht="14.25" customHeight="1" x14ac:dyDescent="0.25"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</row>
    <row r="954" spans="2:14" ht="14.25" customHeight="1" x14ac:dyDescent="0.25"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</row>
    <row r="955" spans="2:14" ht="14.25" customHeight="1" x14ac:dyDescent="0.25"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</row>
    <row r="956" spans="2:14" ht="14.25" customHeight="1" x14ac:dyDescent="0.25"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</row>
    <row r="957" spans="2:14" ht="14.25" customHeight="1" x14ac:dyDescent="0.25"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</row>
    <row r="958" spans="2:14" ht="14.25" customHeight="1" x14ac:dyDescent="0.25"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</row>
    <row r="959" spans="2:14" ht="14.25" customHeight="1" x14ac:dyDescent="0.25"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</row>
    <row r="960" spans="2:14" ht="14.25" customHeight="1" x14ac:dyDescent="0.25"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</row>
    <row r="961" spans="2:14" ht="14.25" customHeight="1" x14ac:dyDescent="0.25"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</row>
    <row r="962" spans="2:14" ht="14.25" customHeight="1" x14ac:dyDescent="0.25"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</row>
    <row r="963" spans="2:14" ht="14.25" customHeight="1" x14ac:dyDescent="0.25"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</row>
    <row r="964" spans="2:14" ht="14.25" customHeight="1" x14ac:dyDescent="0.25"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</row>
    <row r="965" spans="2:14" ht="14.25" customHeight="1" x14ac:dyDescent="0.25"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</row>
    <row r="966" spans="2:14" ht="14.25" customHeight="1" x14ac:dyDescent="0.25"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</row>
    <row r="967" spans="2:14" ht="14.25" customHeight="1" x14ac:dyDescent="0.25"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</row>
    <row r="968" spans="2:14" ht="14.25" customHeight="1" x14ac:dyDescent="0.25"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</row>
    <row r="969" spans="2:14" ht="14.25" customHeight="1" x14ac:dyDescent="0.25"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</row>
    <row r="970" spans="2:14" ht="14.25" customHeight="1" x14ac:dyDescent="0.25"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</row>
    <row r="971" spans="2:14" ht="14.25" customHeight="1" x14ac:dyDescent="0.25"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</row>
    <row r="972" spans="2:14" ht="14.25" customHeight="1" x14ac:dyDescent="0.25"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</row>
    <row r="973" spans="2:14" ht="14.25" customHeight="1" x14ac:dyDescent="0.25"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</row>
    <row r="974" spans="2:14" ht="14.25" customHeight="1" x14ac:dyDescent="0.25"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</row>
    <row r="975" spans="2:14" ht="14.25" customHeight="1" x14ac:dyDescent="0.25"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</row>
    <row r="976" spans="2:14" ht="14.25" customHeight="1" x14ac:dyDescent="0.25"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</row>
    <row r="977" spans="2:14" ht="14.25" customHeight="1" x14ac:dyDescent="0.25"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</row>
    <row r="978" spans="2:14" ht="14.25" customHeight="1" x14ac:dyDescent="0.25"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</row>
    <row r="979" spans="2:14" ht="14.25" customHeight="1" x14ac:dyDescent="0.25"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</row>
    <row r="980" spans="2:14" ht="14.25" customHeight="1" x14ac:dyDescent="0.25"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</row>
    <row r="981" spans="2:14" ht="14.25" customHeight="1" x14ac:dyDescent="0.25"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</row>
    <row r="982" spans="2:14" ht="14.25" customHeight="1" x14ac:dyDescent="0.25"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</row>
    <row r="983" spans="2:14" ht="14.25" customHeight="1" x14ac:dyDescent="0.25"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</row>
    <row r="984" spans="2:14" ht="14.25" customHeight="1" x14ac:dyDescent="0.25"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</row>
    <row r="985" spans="2:14" ht="14.25" customHeight="1" x14ac:dyDescent="0.25"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</row>
    <row r="986" spans="2:14" ht="14.25" customHeight="1" x14ac:dyDescent="0.25"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</row>
    <row r="987" spans="2:14" ht="14.25" customHeight="1" x14ac:dyDescent="0.25"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</row>
    <row r="988" spans="2:14" ht="14.25" customHeight="1" x14ac:dyDescent="0.25"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</row>
    <row r="989" spans="2:14" ht="14.25" customHeight="1" x14ac:dyDescent="0.25"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</row>
    <row r="990" spans="2:14" ht="14.25" customHeight="1" x14ac:dyDescent="0.25"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</row>
    <row r="991" spans="2:14" ht="14.25" customHeight="1" x14ac:dyDescent="0.25"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</row>
    <row r="992" spans="2:14" ht="14.25" customHeight="1" x14ac:dyDescent="0.25"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</row>
    <row r="993" spans="2:14" ht="14.25" customHeight="1" x14ac:dyDescent="0.25"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</row>
    <row r="994" spans="2:14" ht="14.25" customHeight="1" x14ac:dyDescent="0.25"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</row>
    <row r="995" spans="2:14" ht="14.25" customHeight="1" x14ac:dyDescent="0.25"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</row>
    <row r="996" spans="2:14" ht="14.25" customHeight="1" x14ac:dyDescent="0.25"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</row>
    <row r="997" spans="2:14" ht="14.25" customHeight="1" x14ac:dyDescent="0.25"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</row>
    <row r="998" spans="2:14" ht="14.25" customHeight="1" x14ac:dyDescent="0.25"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</row>
  </sheetData>
  <pageMargins left="0.7" right="0.7" top="0.75" bottom="0.75" header="0" footer="0"/>
  <pageSetup paperSize="5" scale="86" fitToHeight="0" orientation="landscape" r:id="rId1"/>
  <headerFooter>
    <oddHeader>&amp;C2022 Draft Budget
&amp;A</oddHeader>
    <oddFooter>&amp;C&amp;F 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998"/>
  <sheetViews>
    <sheetView zoomScale="150" zoomScaleNormal="150" workbookViewId="0">
      <pane xSplit="1" ySplit="1" topLeftCell="G122" activePane="bottomRight" state="frozen"/>
      <selection pane="topRight" activeCell="B1" sqref="B1"/>
      <selection pane="bottomLeft" activeCell="A2" sqref="A2"/>
      <selection pane="bottomRight" activeCell="A103" sqref="A103:XFD104"/>
    </sheetView>
  </sheetViews>
  <sheetFormatPr defaultColWidth="12.625" defaultRowHeight="15" customHeight="1" x14ac:dyDescent="0.2"/>
  <cols>
    <col min="1" max="1" width="32" customWidth="1"/>
    <col min="2" max="14" width="10.75" customWidth="1"/>
    <col min="15" max="15" width="16.75" customWidth="1"/>
    <col min="16" max="16" width="16.25" customWidth="1"/>
    <col min="17" max="17" width="10.375" customWidth="1"/>
    <col min="18" max="18" width="13.125" customWidth="1"/>
    <col min="19" max="26" width="7.625" customWidth="1"/>
  </cols>
  <sheetData>
    <row r="1" spans="1:19" ht="48" customHeight="1" x14ac:dyDescent="0.25">
      <c r="A1" s="8" t="s">
        <v>6</v>
      </c>
      <c r="B1" s="20" t="s">
        <v>17</v>
      </c>
      <c r="C1" s="20" t="s">
        <v>18</v>
      </c>
      <c r="D1" s="20" t="s">
        <v>19</v>
      </c>
      <c r="E1" s="20" t="s">
        <v>20</v>
      </c>
      <c r="F1" s="20" t="s">
        <v>21</v>
      </c>
      <c r="G1" s="20" t="s">
        <v>22</v>
      </c>
      <c r="H1" s="20" t="s">
        <v>23</v>
      </c>
      <c r="I1" s="20" t="s">
        <v>24</v>
      </c>
      <c r="J1" s="20" t="s">
        <v>25</v>
      </c>
      <c r="K1" s="20" t="s">
        <v>7</v>
      </c>
      <c r="L1" s="20" t="s">
        <v>8</v>
      </c>
      <c r="M1" s="20" t="s">
        <v>9</v>
      </c>
      <c r="N1" s="58" t="s">
        <v>153</v>
      </c>
      <c r="O1" s="44" t="s">
        <v>171</v>
      </c>
      <c r="P1" s="44" t="s">
        <v>175</v>
      </c>
      <c r="Q1" s="44" t="s">
        <v>176</v>
      </c>
      <c r="R1" s="44"/>
    </row>
    <row r="2" spans="1:19" ht="14.25" customHeight="1" x14ac:dyDescent="0.25">
      <c r="A2" s="16" t="s">
        <v>11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>
        <f t="shared" ref="N2:N4" si="0">SUM(B2:M2)</f>
        <v>0</v>
      </c>
      <c r="O2" s="122"/>
      <c r="P2" s="122"/>
      <c r="Q2" s="122"/>
      <c r="R2" s="122"/>
      <c r="S2" s="122"/>
    </row>
    <row r="3" spans="1:19" ht="14.25" customHeight="1" x14ac:dyDescent="0.25">
      <c r="A3" s="14" t="s">
        <v>26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>
        <f t="shared" si="0"/>
        <v>0</v>
      </c>
      <c r="O3" s="122"/>
      <c r="P3" s="122"/>
      <c r="Q3" s="122"/>
      <c r="R3" s="122"/>
      <c r="S3" s="122"/>
    </row>
    <row r="4" spans="1:19" s="119" customFormat="1" ht="14.25" customHeight="1" x14ac:dyDescent="0.25">
      <c r="A4" s="51" t="s">
        <v>27</v>
      </c>
      <c r="B4" s="129">
        <f>2535</f>
        <v>2535</v>
      </c>
      <c r="C4" s="52"/>
      <c r="D4" s="52">
        <f>5400</f>
        <v>5400</v>
      </c>
      <c r="E4" s="129">
        <f>5400+2520</f>
        <v>7920</v>
      </c>
      <c r="F4" s="52"/>
      <c r="G4" s="52"/>
      <c r="H4" s="129">
        <f>4225</f>
        <v>4225</v>
      </c>
      <c r="I4" s="52"/>
      <c r="J4" s="52"/>
      <c r="K4" s="129">
        <f>2535</f>
        <v>2535</v>
      </c>
      <c r="L4" s="52"/>
      <c r="M4" s="52"/>
      <c r="N4" s="52">
        <f t="shared" si="0"/>
        <v>22615</v>
      </c>
      <c r="O4" s="139">
        <f>Master!O4</f>
        <v>33256</v>
      </c>
      <c r="P4" s="139">
        <f>Master!P4</f>
        <v>17215</v>
      </c>
      <c r="Q4" s="139">
        <f>N4-O4</f>
        <v>-10641</v>
      </c>
      <c r="R4" s="140"/>
      <c r="S4" s="140"/>
    </row>
    <row r="5" spans="1:19" s="119" customFormat="1" ht="14.25" customHeight="1" x14ac:dyDescent="0.25">
      <c r="A5" s="51" t="s">
        <v>28</v>
      </c>
      <c r="C5" s="129"/>
      <c r="D5" s="52"/>
      <c r="E5" s="52"/>
      <c r="F5" s="129"/>
      <c r="G5" s="129"/>
      <c r="H5" s="129">
        <f>23600+940</f>
        <v>24540</v>
      </c>
      <c r="I5" s="52"/>
      <c r="J5" s="52"/>
      <c r="K5" s="129"/>
      <c r="L5" s="52"/>
      <c r="M5" s="52"/>
      <c r="N5" s="52">
        <f>SUM(C5:M5)</f>
        <v>24540</v>
      </c>
      <c r="O5" s="139">
        <f>Master!O5</f>
        <v>17844</v>
      </c>
      <c r="P5" s="139">
        <f>Master!P5</f>
        <v>28520</v>
      </c>
      <c r="Q5" s="139">
        <f t="shared" ref="Q5:Q8" si="1">N5-O5</f>
        <v>6696</v>
      </c>
      <c r="R5" s="140"/>
      <c r="S5" s="140"/>
    </row>
    <row r="6" spans="1:19" s="119" customFormat="1" ht="14.25" customHeight="1" x14ac:dyDescent="0.25">
      <c r="A6" s="51" t="s">
        <v>29</v>
      </c>
      <c r="B6" s="52">
        <f>3242</f>
        <v>3242</v>
      </c>
      <c r="C6" s="52">
        <f>5143</f>
        <v>5143</v>
      </c>
      <c r="D6" s="52"/>
      <c r="E6" s="52">
        <f>199</f>
        <v>199</v>
      </c>
      <c r="F6" s="52">
        <f>199</f>
        <v>199</v>
      </c>
      <c r="G6" s="52">
        <f>199</f>
        <v>199</v>
      </c>
      <c r="H6" s="52">
        <f>724</f>
        <v>724</v>
      </c>
      <c r="I6" s="52"/>
      <c r="J6" s="52"/>
      <c r="K6" s="52"/>
      <c r="L6" s="52"/>
      <c r="M6" s="52"/>
      <c r="N6" s="52">
        <f t="shared" ref="N6:N129" si="2">SUM(B6:M6)</f>
        <v>9706</v>
      </c>
      <c r="O6" s="139">
        <f>Master!O6</f>
        <v>9706</v>
      </c>
      <c r="P6" s="139">
        <f>Master!P6</f>
        <v>0</v>
      </c>
      <c r="Q6" s="139">
        <f t="shared" si="1"/>
        <v>0</v>
      </c>
      <c r="R6" s="140"/>
      <c r="S6" s="140"/>
    </row>
    <row r="7" spans="1:19" s="119" customFormat="1" ht="14.25" customHeight="1" x14ac:dyDescent="0.25">
      <c r="A7" s="51" t="s">
        <v>30</v>
      </c>
      <c r="B7" s="52"/>
      <c r="C7" s="52"/>
      <c r="D7" s="52"/>
      <c r="E7" s="52">
        <f>38500</f>
        <v>38500</v>
      </c>
      <c r="F7" s="52">
        <f>33750</f>
        <v>33750</v>
      </c>
      <c r="G7" s="52"/>
      <c r="H7" s="52"/>
      <c r="I7" s="52"/>
      <c r="J7" s="52"/>
      <c r="K7" s="52"/>
      <c r="L7" s="52"/>
      <c r="M7" s="52"/>
      <c r="N7" s="52">
        <f t="shared" si="2"/>
        <v>72250</v>
      </c>
      <c r="O7" s="139">
        <f>Master!O7</f>
        <v>67164.899999999994</v>
      </c>
      <c r="P7" s="139">
        <f>Master!P7</f>
        <v>68400</v>
      </c>
      <c r="Q7" s="139">
        <f t="shared" si="1"/>
        <v>5085.1000000000058</v>
      </c>
      <c r="R7" s="140"/>
      <c r="S7" s="140"/>
    </row>
    <row r="8" spans="1:19" s="119" customFormat="1" ht="14.25" customHeight="1" x14ac:dyDescent="0.25">
      <c r="A8" s="51" t="s">
        <v>31</v>
      </c>
      <c r="B8" s="129">
        <f>1428+1020+5625</f>
        <v>8073</v>
      </c>
      <c r="C8" s="129">
        <f>2584+1020+3750</f>
        <v>7354</v>
      </c>
      <c r="D8" s="129">
        <f>3750</f>
        <v>3750</v>
      </c>
      <c r="E8" s="129">
        <f>1360+625+375</f>
        <v>2360</v>
      </c>
      <c r="F8" s="129">
        <f>4150+1700</f>
        <v>5850</v>
      </c>
      <c r="G8" s="129">
        <f>3000+1700+7900</f>
        <v>12600</v>
      </c>
      <c r="H8" s="129">
        <f>7900+1360+1700</f>
        <v>10960</v>
      </c>
      <c r="I8" s="129">
        <f>1700+1360+1700</f>
        <v>4760</v>
      </c>
      <c r="J8" s="129">
        <f>2040+1700+1700</f>
        <v>5440</v>
      </c>
      <c r="K8" s="129">
        <f>1360+4150+1700+625</f>
        <v>7835</v>
      </c>
      <c r="L8" s="129">
        <f>1360+1700+7900</f>
        <v>10960</v>
      </c>
      <c r="M8" s="52"/>
      <c r="N8" s="52">
        <f t="shared" si="2"/>
        <v>79942</v>
      </c>
      <c r="O8" s="139">
        <f>Master!O8</f>
        <v>90868</v>
      </c>
      <c r="P8" s="139">
        <f>Master!P8</f>
        <v>54203</v>
      </c>
      <c r="Q8" s="139">
        <f t="shared" si="1"/>
        <v>-10926</v>
      </c>
      <c r="R8" s="140"/>
      <c r="S8" s="140"/>
    </row>
    <row r="9" spans="1:19" ht="14.25" customHeight="1" x14ac:dyDescent="0.25">
      <c r="A9" s="14" t="s">
        <v>32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>
        <f t="shared" si="2"/>
        <v>0</v>
      </c>
      <c r="O9" s="122"/>
      <c r="P9" s="122"/>
      <c r="Q9" s="122"/>
      <c r="R9" s="122"/>
      <c r="S9" s="122"/>
    </row>
    <row r="10" spans="1:19" ht="14.25" customHeight="1" x14ac:dyDescent="0.25">
      <c r="A10" s="16" t="s">
        <v>33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>
        <f t="shared" si="2"/>
        <v>0</v>
      </c>
      <c r="O10" s="122"/>
      <c r="P10" s="122"/>
      <c r="Q10" s="122"/>
      <c r="R10" s="122"/>
      <c r="S10" s="122"/>
    </row>
    <row r="11" spans="1:19" ht="14.25" customHeight="1" x14ac:dyDescent="0.25">
      <c r="A11" s="16" t="s">
        <v>34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>
        <f t="shared" si="2"/>
        <v>0</v>
      </c>
      <c r="O11" s="122"/>
      <c r="P11" s="122"/>
      <c r="Q11" s="122"/>
      <c r="R11" s="122"/>
      <c r="S11" s="122"/>
    </row>
    <row r="12" spans="1:19" ht="14.25" customHeight="1" x14ac:dyDescent="0.25">
      <c r="A12" s="16" t="s">
        <v>35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>
        <f t="shared" si="2"/>
        <v>0</v>
      </c>
      <c r="O12" s="122"/>
      <c r="P12" s="122"/>
      <c r="Q12" s="122"/>
      <c r="R12" s="122"/>
      <c r="S12" s="122"/>
    </row>
    <row r="13" spans="1:19" ht="14.25" customHeight="1" x14ac:dyDescent="0.25">
      <c r="A13" s="16" t="s">
        <v>36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>
        <f t="shared" si="2"/>
        <v>0</v>
      </c>
      <c r="O13" s="122"/>
      <c r="P13" s="122"/>
      <c r="Q13" s="122"/>
      <c r="R13" s="122"/>
      <c r="S13" s="122"/>
    </row>
    <row r="14" spans="1:19" ht="14.25" customHeight="1" x14ac:dyDescent="0.25">
      <c r="A14" s="16" t="s">
        <v>37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>
        <f t="shared" si="2"/>
        <v>0</v>
      </c>
      <c r="O14" s="122"/>
      <c r="P14" s="122"/>
      <c r="Q14" s="122"/>
      <c r="R14" s="122"/>
      <c r="S14" s="122"/>
    </row>
    <row r="15" spans="1:19" ht="14.25" customHeight="1" x14ac:dyDescent="0.25">
      <c r="A15" s="16" t="s">
        <v>38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>
        <f t="shared" si="2"/>
        <v>0</v>
      </c>
      <c r="O15" s="122"/>
      <c r="P15" s="122"/>
      <c r="Q15" s="122"/>
      <c r="R15" s="122"/>
      <c r="S15" s="122"/>
    </row>
    <row r="16" spans="1:19" ht="14.25" customHeight="1" x14ac:dyDescent="0.25">
      <c r="A16" s="16" t="s">
        <v>39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>
        <f t="shared" si="2"/>
        <v>0</v>
      </c>
      <c r="O16" s="122"/>
      <c r="P16" s="122"/>
      <c r="Q16" s="122"/>
      <c r="R16" s="122"/>
      <c r="S16" s="122"/>
    </row>
    <row r="17" spans="1:19" ht="14.25" customHeight="1" x14ac:dyDescent="0.25">
      <c r="A17" s="16" t="s">
        <v>40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>
        <f t="shared" si="2"/>
        <v>0</v>
      </c>
      <c r="O17" s="122"/>
      <c r="P17" s="122"/>
      <c r="Q17" s="122"/>
      <c r="R17" s="122"/>
      <c r="S17" s="122"/>
    </row>
    <row r="18" spans="1:19" ht="14.25" customHeight="1" x14ac:dyDescent="0.25">
      <c r="A18" s="16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>
        <f t="shared" si="2"/>
        <v>0</v>
      </c>
      <c r="O18" s="122"/>
      <c r="P18" s="122"/>
      <c r="Q18" s="122"/>
      <c r="R18" s="122"/>
      <c r="S18" s="122"/>
    </row>
    <row r="19" spans="1:19" ht="14.25" customHeight="1" x14ac:dyDescent="0.25">
      <c r="A19" s="14" t="s">
        <v>42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 t="shared" si="2"/>
        <v>0</v>
      </c>
      <c r="O19" s="122"/>
      <c r="P19" s="122"/>
      <c r="Q19" s="122"/>
      <c r="R19" s="122"/>
      <c r="S19" s="122"/>
    </row>
    <row r="20" spans="1:19" ht="14.25" customHeight="1" x14ac:dyDescent="0.25">
      <c r="A20" s="16" t="s">
        <v>43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>
        <f t="shared" si="2"/>
        <v>0</v>
      </c>
      <c r="O20" s="122"/>
      <c r="P20" s="122"/>
      <c r="Q20" s="122"/>
      <c r="R20" s="122"/>
      <c r="S20" s="122"/>
    </row>
    <row r="21" spans="1:19" ht="14.25" customHeight="1" x14ac:dyDescent="0.25">
      <c r="A21" s="16" t="s">
        <v>44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>
        <f t="shared" si="2"/>
        <v>0</v>
      </c>
      <c r="O21" s="122"/>
      <c r="P21" s="122"/>
      <c r="Q21" s="122"/>
      <c r="R21" s="122"/>
      <c r="S21" s="122"/>
    </row>
    <row r="22" spans="1:19" ht="14.25" customHeight="1" x14ac:dyDescent="0.25">
      <c r="A22" s="16" t="s">
        <v>45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>
        <f t="shared" si="2"/>
        <v>0</v>
      </c>
      <c r="O22" s="122"/>
      <c r="P22" s="122"/>
      <c r="Q22" s="122"/>
      <c r="R22" s="122"/>
      <c r="S22" s="122"/>
    </row>
    <row r="23" spans="1:19" ht="14.25" customHeight="1" x14ac:dyDescent="0.25">
      <c r="A23" s="16" t="s">
        <v>46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>
        <f t="shared" si="2"/>
        <v>0</v>
      </c>
      <c r="O23" s="122"/>
      <c r="P23" s="122"/>
      <c r="Q23" s="122"/>
      <c r="R23" s="122"/>
      <c r="S23" s="122"/>
    </row>
    <row r="24" spans="1:19" ht="14.25" customHeight="1" x14ac:dyDescent="0.25">
      <c r="A24" s="16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>
        <f t="shared" si="2"/>
        <v>0</v>
      </c>
      <c r="O24" s="122"/>
      <c r="P24" s="122"/>
      <c r="Q24" s="122"/>
      <c r="R24" s="122"/>
      <c r="S24" s="122"/>
    </row>
    <row r="25" spans="1:19" ht="14.25" customHeight="1" x14ac:dyDescent="0.25">
      <c r="A25" s="14" t="s">
        <v>48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>
        <f t="shared" si="2"/>
        <v>0</v>
      </c>
      <c r="O25" s="122"/>
      <c r="P25" s="122"/>
      <c r="Q25" s="122"/>
      <c r="R25" s="122"/>
      <c r="S25" s="122"/>
    </row>
    <row r="26" spans="1:19" ht="14.25" customHeight="1" x14ac:dyDescent="0.25">
      <c r="A26" s="16" t="s">
        <v>49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>
        <f t="shared" si="2"/>
        <v>0</v>
      </c>
      <c r="O26" s="122"/>
      <c r="P26" s="122"/>
      <c r="Q26" s="122"/>
      <c r="R26" s="122"/>
      <c r="S26" s="122"/>
    </row>
    <row r="27" spans="1:19" ht="14.25" customHeight="1" x14ac:dyDescent="0.25">
      <c r="A27" s="16" t="s">
        <v>50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>
        <f t="shared" si="2"/>
        <v>0</v>
      </c>
      <c r="O27" s="122"/>
      <c r="P27" s="122"/>
      <c r="Q27" s="122"/>
      <c r="R27" s="122"/>
      <c r="S27" s="122"/>
    </row>
    <row r="28" spans="1:19" ht="14.25" customHeight="1" x14ac:dyDescent="0.25">
      <c r="A28" s="16" t="s">
        <v>51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>
        <f t="shared" si="2"/>
        <v>0</v>
      </c>
      <c r="O28" s="122"/>
      <c r="P28" s="122"/>
      <c r="Q28" s="122"/>
      <c r="R28" s="122"/>
      <c r="S28" s="122"/>
    </row>
    <row r="29" spans="1:19" ht="14.25" customHeight="1" x14ac:dyDescent="0.25">
      <c r="A29" s="16" t="s">
        <v>52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>
        <f t="shared" si="2"/>
        <v>0</v>
      </c>
      <c r="O29" s="122"/>
      <c r="P29" s="122"/>
      <c r="Q29" s="122"/>
      <c r="R29" s="122"/>
      <c r="S29" s="122"/>
    </row>
    <row r="30" spans="1:19" ht="14.25" customHeight="1" x14ac:dyDescent="0.25">
      <c r="A30" s="16" t="s">
        <v>53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>
        <f t="shared" si="2"/>
        <v>0</v>
      </c>
      <c r="O30" s="122"/>
      <c r="P30" s="122"/>
      <c r="Q30" s="122"/>
      <c r="R30" s="122"/>
      <c r="S30" s="122"/>
    </row>
    <row r="31" spans="1:19" s="119" customFormat="1" ht="14.25" customHeight="1" x14ac:dyDescent="0.25">
      <c r="A31" s="51" t="s">
        <v>54</v>
      </c>
      <c r="B31" s="52"/>
      <c r="C31" s="129"/>
      <c r="D31" s="52"/>
      <c r="E31" s="52"/>
      <c r="F31" s="129"/>
      <c r="G31" s="129">
        <f>600</f>
        <v>600</v>
      </c>
      <c r="H31" s="52"/>
      <c r="I31" s="52">
        <f>1400</f>
        <v>1400</v>
      </c>
      <c r="J31" s="52"/>
      <c r="K31" s="52"/>
      <c r="L31" s="52">
        <f>1700</f>
        <v>1700</v>
      </c>
      <c r="M31" s="52"/>
      <c r="N31" s="52">
        <f t="shared" si="2"/>
        <v>3700</v>
      </c>
      <c r="O31" s="139">
        <f>Master!O34</f>
        <v>3496.64</v>
      </c>
      <c r="P31" s="139">
        <f>Master!P34</f>
        <v>3700</v>
      </c>
      <c r="Q31" s="139">
        <f>N31-O31</f>
        <v>203.36000000000013</v>
      </c>
      <c r="R31" s="140"/>
      <c r="S31" s="140"/>
    </row>
    <row r="32" spans="1:19" ht="14.25" customHeight="1" x14ac:dyDescent="0.25">
      <c r="A32" s="16" t="s">
        <v>55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>
        <f t="shared" si="2"/>
        <v>0</v>
      </c>
      <c r="O32" s="122"/>
      <c r="P32" s="122"/>
      <c r="Q32" s="122"/>
      <c r="R32" s="122"/>
      <c r="S32" s="122"/>
    </row>
    <row r="33" spans="1:19" ht="14.25" customHeight="1" x14ac:dyDescent="0.25">
      <c r="A33" s="16" t="s">
        <v>56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 t="shared" si="2"/>
        <v>0</v>
      </c>
      <c r="O33" s="122"/>
      <c r="P33" s="122"/>
      <c r="Q33" s="122"/>
      <c r="R33" s="122"/>
      <c r="S33" s="122"/>
    </row>
    <row r="34" spans="1:19" ht="14.25" customHeight="1" x14ac:dyDescent="0.25">
      <c r="A34" s="16" t="s">
        <v>57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>
        <f t="shared" si="2"/>
        <v>0</v>
      </c>
      <c r="O34" s="122"/>
      <c r="P34" s="122"/>
      <c r="Q34" s="122"/>
      <c r="R34" s="122"/>
      <c r="S34" s="122"/>
    </row>
    <row r="35" spans="1:19" ht="14.25" customHeight="1" x14ac:dyDescent="0.25">
      <c r="A35" s="16" t="s">
        <v>58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>
        <f t="shared" si="2"/>
        <v>0</v>
      </c>
      <c r="O35" s="122"/>
      <c r="P35" s="122"/>
      <c r="Q35" s="122"/>
      <c r="R35" s="122"/>
      <c r="S35" s="122"/>
    </row>
    <row r="36" spans="1:19" ht="14.25" customHeight="1" x14ac:dyDescent="0.25">
      <c r="A36" s="16" t="s">
        <v>59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>
        <f t="shared" si="2"/>
        <v>0</v>
      </c>
      <c r="O36" s="122"/>
      <c r="P36" s="122"/>
      <c r="Q36" s="122"/>
      <c r="R36" s="122"/>
      <c r="S36" s="122"/>
    </row>
    <row r="37" spans="1:19" ht="14.25" customHeight="1" x14ac:dyDescent="0.25">
      <c r="A37" s="16" t="s">
        <v>60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>
        <f t="shared" si="2"/>
        <v>0</v>
      </c>
      <c r="O37" s="122"/>
      <c r="P37" s="122"/>
      <c r="Q37" s="122"/>
      <c r="R37" s="122"/>
      <c r="S37" s="122"/>
    </row>
    <row r="38" spans="1:19" ht="14.25" customHeight="1" x14ac:dyDescent="0.25">
      <c r="A38" s="16" t="s">
        <v>61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>
        <f t="shared" si="2"/>
        <v>0</v>
      </c>
      <c r="O38" s="122"/>
      <c r="P38" s="122"/>
      <c r="Q38" s="122"/>
      <c r="R38" s="122"/>
      <c r="S38" s="122"/>
    </row>
    <row r="39" spans="1:19" ht="14.25" customHeight="1" x14ac:dyDescent="0.25">
      <c r="A39" s="16" t="s">
        <v>62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>
        <f t="shared" si="2"/>
        <v>0</v>
      </c>
      <c r="O39" s="122"/>
      <c r="P39" s="122"/>
      <c r="Q39" s="122"/>
      <c r="R39" s="122"/>
      <c r="S39" s="122"/>
    </row>
    <row r="40" spans="1:19" ht="14.25" customHeight="1" x14ac:dyDescent="0.25">
      <c r="A40" s="16" t="s">
        <v>63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>
        <f t="shared" si="2"/>
        <v>0</v>
      </c>
      <c r="O40" s="122"/>
      <c r="P40" s="122"/>
      <c r="Q40" s="122"/>
      <c r="R40" s="122"/>
      <c r="S40" s="122"/>
    </row>
    <row r="41" spans="1:19" ht="14.25" customHeight="1" x14ac:dyDescent="0.25">
      <c r="A41" s="14" t="s">
        <v>64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>
        <f t="shared" si="2"/>
        <v>0</v>
      </c>
      <c r="O41" s="122"/>
      <c r="P41" s="122"/>
      <c r="Q41" s="122"/>
      <c r="R41" s="122"/>
      <c r="S41" s="122"/>
    </row>
    <row r="42" spans="1:19" ht="14.25" customHeight="1" x14ac:dyDescent="0.25">
      <c r="A42" s="16" t="s">
        <v>65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>
        <f t="shared" si="2"/>
        <v>0</v>
      </c>
      <c r="O42" s="122"/>
      <c r="P42" s="122"/>
      <c r="Q42" s="122"/>
      <c r="R42" s="122"/>
      <c r="S42" s="122"/>
    </row>
    <row r="43" spans="1:19" ht="14.25" customHeight="1" x14ac:dyDescent="0.25">
      <c r="A43" s="16" t="s">
        <v>66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>
        <f t="shared" si="2"/>
        <v>0</v>
      </c>
      <c r="O43" s="122"/>
      <c r="P43" s="122"/>
      <c r="Q43" s="122"/>
      <c r="R43" s="122"/>
      <c r="S43" s="122"/>
    </row>
    <row r="44" spans="1:19" ht="14.25" customHeight="1" x14ac:dyDescent="0.25">
      <c r="A44" s="16" t="s">
        <v>67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>
        <f t="shared" si="2"/>
        <v>0</v>
      </c>
      <c r="O44" s="122"/>
      <c r="P44" s="122"/>
      <c r="Q44" s="122"/>
      <c r="R44" s="122"/>
      <c r="S44" s="122"/>
    </row>
    <row r="45" spans="1:19" ht="14.25" customHeight="1" x14ac:dyDescent="0.25">
      <c r="A45" s="16" t="s">
        <v>68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>
        <f t="shared" si="2"/>
        <v>0</v>
      </c>
      <c r="O45" s="122"/>
      <c r="P45" s="122"/>
      <c r="Q45" s="122"/>
      <c r="R45" s="122"/>
      <c r="S45" s="122"/>
    </row>
    <row r="46" spans="1:19" ht="14.25" customHeight="1" x14ac:dyDescent="0.25">
      <c r="A46" s="16" t="s">
        <v>69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>
        <f t="shared" si="2"/>
        <v>0</v>
      </c>
      <c r="O46" s="122"/>
      <c r="P46" s="122"/>
      <c r="Q46" s="122"/>
      <c r="R46" s="122"/>
      <c r="S46" s="122"/>
    </row>
    <row r="47" spans="1:19" ht="14.25" customHeight="1" x14ac:dyDescent="0.25">
      <c r="A47" s="16" t="s">
        <v>70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>
        <f t="shared" si="2"/>
        <v>0</v>
      </c>
      <c r="O47" s="122"/>
      <c r="P47" s="122"/>
      <c r="Q47" s="122"/>
      <c r="R47" s="122"/>
      <c r="S47" s="122"/>
    </row>
    <row r="48" spans="1:19" ht="14.25" customHeight="1" x14ac:dyDescent="0.25">
      <c r="A48" s="16" t="s">
        <v>71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>
        <f t="shared" si="2"/>
        <v>0</v>
      </c>
      <c r="O48" s="122"/>
      <c r="P48" s="122"/>
      <c r="Q48" s="122"/>
      <c r="R48" s="122"/>
      <c r="S48" s="122"/>
    </row>
    <row r="49" spans="1:19" ht="14.25" customHeight="1" x14ac:dyDescent="0.25">
      <c r="A49" s="16" t="s">
        <v>72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>
        <f t="shared" si="2"/>
        <v>0</v>
      </c>
      <c r="O49" s="122"/>
      <c r="P49" s="122"/>
      <c r="Q49" s="122"/>
      <c r="R49" s="122"/>
      <c r="S49" s="122"/>
    </row>
    <row r="50" spans="1:19" ht="14.25" customHeight="1" x14ac:dyDescent="0.25">
      <c r="A50" s="16" t="s">
        <v>73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>
        <f t="shared" si="2"/>
        <v>0</v>
      </c>
      <c r="O50" s="122"/>
      <c r="P50" s="122"/>
      <c r="Q50" s="122"/>
      <c r="R50" s="122"/>
      <c r="S50" s="122"/>
    </row>
    <row r="51" spans="1:19" ht="14.25" customHeight="1" x14ac:dyDescent="0.25">
      <c r="A51" s="16" t="s">
        <v>74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>
        <f t="shared" si="2"/>
        <v>0</v>
      </c>
      <c r="O51" s="122"/>
      <c r="P51" s="122"/>
      <c r="Q51" s="122"/>
      <c r="R51" s="122"/>
      <c r="S51" s="122"/>
    </row>
    <row r="52" spans="1:19" ht="14.25" customHeight="1" x14ac:dyDescent="0.25">
      <c r="A52" s="16" t="s">
        <v>75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>
        <f t="shared" si="2"/>
        <v>0</v>
      </c>
      <c r="O52" s="122"/>
      <c r="P52" s="122"/>
      <c r="Q52" s="122"/>
      <c r="R52" s="122"/>
      <c r="S52" s="122"/>
    </row>
    <row r="53" spans="1:19" ht="14.25" customHeight="1" x14ac:dyDescent="0.25">
      <c r="A53" s="14" t="s">
        <v>76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>
        <f t="shared" si="2"/>
        <v>0</v>
      </c>
      <c r="O53" s="122"/>
      <c r="P53" s="122"/>
      <c r="Q53" s="122"/>
      <c r="R53" s="122"/>
      <c r="S53" s="122"/>
    </row>
    <row r="54" spans="1:19" ht="14.25" customHeight="1" x14ac:dyDescent="0.25">
      <c r="A54" s="16" t="s">
        <v>77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>
        <f t="shared" si="2"/>
        <v>0</v>
      </c>
      <c r="O54" s="122"/>
      <c r="P54" s="122"/>
      <c r="Q54" s="122"/>
      <c r="R54" s="122"/>
      <c r="S54" s="122"/>
    </row>
    <row r="55" spans="1:19" ht="14.25" customHeight="1" x14ac:dyDescent="0.25">
      <c r="A55" s="16" t="s">
        <v>78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>
        <f t="shared" si="2"/>
        <v>0</v>
      </c>
      <c r="O55" s="122"/>
      <c r="P55" s="122"/>
      <c r="Q55" s="122"/>
      <c r="R55" s="122"/>
      <c r="S55" s="122"/>
    </row>
    <row r="56" spans="1:19" ht="14.25" customHeight="1" x14ac:dyDescent="0.25">
      <c r="A56" s="16" t="s">
        <v>79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>
        <f t="shared" si="2"/>
        <v>0</v>
      </c>
      <c r="O56" s="122"/>
      <c r="P56" s="122"/>
      <c r="Q56" s="122"/>
      <c r="R56" s="122"/>
      <c r="S56" s="122"/>
    </row>
    <row r="57" spans="1:19" ht="14.25" customHeight="1" x14ac:dyDescent="0.25">
      <c r="A57" s="16" t="s">
        <v>80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>
        <f t="shared" si="2"/>
        <v>0</v>
      </c>
      <c r="O57" s="122"/>
      <c r="P57" s="122"/>
      <c r="Q57" s="122"/>
      <c r="R57" s="122"/>
      <c r="S57" s="122"/>
    </row>
    <row r="58" spans="1:19" ht="14.25" customHeight="1" x14ac:dyDescent="0.25">
      <c r="A58" s="16" t="s">
        <v>81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>
        <f t="shared" si="2"/>
        <v>0</v>
      </c>
      <c r="O58" s="122"/>
      <c r="P58" s="122"/>
      <c r="Q58" s="122"/>
      <c r="R58" s="122"/>
      <c r="S58" s="122"/>
    </row>
    <row r="59" spans="1:19" ht="14.25" customHeight="1" x14ac:dyDescent="0.25">
      <c r="A59" s="16" t="s">
        <v>82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>
        <f t="shared" si="2"/>
        <v>0</v>
      </c>
      <c r="O59" s="122"/>
      <c r="P59" s="122"/>
      <c r="Q59" s="122"/>
      <c r="R59" s="122"/>
      <c r="S59" s="122"/>
    </row>
    <row r="60" spans="1:19" ht="14.25" customHeight="1" x14ac:dyDescent="0.25">
      <c r="A60" s="16" t="s">
        <v>83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>
        <f t="shared" si="2"/>
        <v>0</v>
      </c>
      <c r="O60" s="122"/>
      <c r="P60" s="122"/>
      <c r="Q60" s="122"/>
      <c r="R60" s="122"/>
      <c r="S60" s="122"/>
    </row>
    <row r="61" spans="1:19" ht="14.25" customHeight="1" x14ac:dyDescent="0.25">
      <c r="A61" s="16" t="s">
        <v>84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>
        <f t="shared" si="2"/>
        <v>0</v>
      </c>
      <c r="O61" s="122"/>
      <c r="P61" s="122"/>
      <c r="Q61" s="122"/>
      <c r="R61" s="122"/>
      <c r="S61" s="122"/>
    </row>
    <row r="62" spans="1:19" ht="14.25" customHeight="1" x14ac:dyDescent="0.25">
      <c r="A62" s="16" t="s">
        <v>85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>
        <f t="shared" si="2"/>
        <v>0</v>
      </c>
      <c r="O62" s="122"/>
      <c r="P62" s="122"/>
      <c r="Q62" s="122"/>
      <c r="R62" s="122"/>
      <c r="S62" s="122"/>
    </row>
    <row r="63" spans="1:19" ht="14.25" customHeight="1" x14ac:dyDescent="0.25">
      <c r="A63" s="16" t="s">
        <v>86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>
        <f t="shared" si="2"/>
        <v>0</v>
      </c>
      <c r="O63" s="122"/>
      <c r="P63" s="122"/>
      <c r="Q63" s="122"/>
      <c r="R63" s="122"/>
      <c r="S63" s="122"/>
    </row>
    <row r="64" spans="1:19" ht="14.25" customHeight="1" x14ac:dyDescent="0.25">
      <c r="A64" s="16" t="s">
        <v>87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>
        <f t="shared" si="2"/>
        <v>0</v>
      </c>
      <c r="O64" s="122"/>
      <c r="P64" s="122"/>
      <c r="Q64" s="122"/>
      <c r="R64" s="122"/>
      <c r="S64" s="122"/>
    </row>
    <row r="65" spans="1:19" ht="14.25" customHeight="1" x14ac:dyDescent="0.25">
      <c r="A65" s="16" t="s">
        <v>88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>
        <f t="shared" si="2"/>
        <v>0</v>
      </c>
      <c r="O65" s="122"/>
      <c r="P65" s="122"/>
      <c r="Q65" s="122"/>
      <c r="R65" s="122"/>
      <c r="S65" s="122"/>
    </row>
    <row r="66" spans="1:19" ht="14.25" customHeight="1" x14ac:dyDescent="0.25">
      <c r="A66" s="16" t="s">
        <v>89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>
        <f t="shared" si="2"/>
        <v>0</v>
      </c>
      <c r="O66" s="122"/>
      <c r="P66" s="122"/>
      <c r="Q66" s="122"/>
      <c r="R66" s="122"/>
      <c r="S66" s="122"/>
    </row>
    <row r="67" spans="1:19" ht="14.25" customHeight="1" x14ac:dyDescent="0.25">
      <c r="A67" s="16" t="s">
        <v>90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>
        <f t="shared" si="2"/>
        <v>0</v>
      </c>
      <c r="O67" s="122"/>
      <c r="P67" s="122"/>
      <c r="Q67" s="122"/>
      <c r="R67" s="122"/>
      <c r="S67" s="122"/>
    </row>
    <row r="68" spans="1:19" s="119" customFormat="1" ht="14.25" customHeight="1" x14ac:dyDescent="0.25">
      <c r="A68" s="51" t="s">
        <v>91</v>
      </c>
      <c r="B68" s="141"/>
      <c r="C68" s="141"/>
      <c r="D68" s="141"/>
      <c r="E68" s="141"/>
      <c r="F68" s="141"/>
      <c r="G68" s="142"/>
      <c r="H68" s="142">
        <f>460</f>
        <v>460</v>
      </c>
      <c r="I68" s="141"/>
      <c r="J68" s="142">
        <f>460</f>
        <v>460</v>
      </c>
      <c r="K68" s="141">
        <f>460+1400</f>
        <v>1860</v>
      </c>
      <c r="L68" s="141"/>
      <c r="M68" s="142">
        <f>250</f>
        <v>250</v>
      </c>
      <c r="N68" s="52">
        <f t="shared" si="2"/>
        <v>3030</v>
      </c>
      <c r="O68" s="139">
        <f>Master!O76</f>
        <v>3030</v>
      </c>
      <c r="P68" s="139">
        <f>Master!P76</f>
        <v>3050</v>
      </c>
      <c r="Q68" s="139">
        <f>N68-O68</f>
        <v>0</v>
      </c>
      <c r="R68" s="140"/>
      <c r="S68" s="140"/>
    </row>
    <row r="69" spans="1:19" ht="14.25" customHeight="1" x14ac:dyDescent="0.25">
      <c r="A69" s="16" t="s">
        <v>92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>
        <f t="shared" si="2"/>
        <v>0</v>
      </c>
      <c r="O69" s="122"/>
      <c r="P69" s="122"/>
      <c r="Q69" s="122"/>
      <c r="R69" s="122"/>
      <c r="S69" s="122"/>
    </row>
    <row r="70" spans="1:19" ht="14.25" customHeight="1" x14ac:dyDescent="0.25">
      <c r="A70" s="16" t="s">
        <v>93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>
        <f t="shared" si="2"/>
        <v>0</v>
      </c>
      <c r="O70" s="122"/>
      <c r="P70" s="122"/>
      <c r="Q70" s="122"/>
      <c r="R70" s="122"/>
      <c r="S70" s="122"/>
    </row>
    <row r="71" spans="1:19" ht="14.25" customHeight="1" x14ac:dyDescent="0.25">
      <c r="A71" s="16" t="s">
        <v>94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>
        <f t="shared" si="2"/>
        <v>0</v>
      </c>
      <c r="O71" s="122"/>
      <c r="P71" s="122"/>
      <c r="Q71" s="122"/>
      <c r="R71" s="122"/>
      <c r="S71" s="122"/>
    </row>
    <row r="72" spans="1:19" ht="14.25" customHeight="1" x14ac:dyDescent="0.25">
      <c r="A72" s="16" t="s">
        <v>95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>
        <f t="shared" si="2"/>
        <v>0</v>
      </c>
      <c r="O72" s="122"/>
      <c r="P72" s="122"/>
      <c r="Q72" s="122"/>
      <c r="R72" s="122"/>
      <c r="S72" s="122"/>
    </row>
    <row r="73" spans="1:19" ht="14.25" customHeight="1" x14ac:dyDescent="0.25">
      <c r="A73" s="16" t="s">
        <v>96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>
        <f t="shared" si="2"/>
        <v>0</v>
      </c>
      <c r="O73" s="122"/>
      <c r="P73" s="122"/>
      <c r="Q73" s="122"/>
      <c r="R73" s="122"/>
      <c r="S73" s="122"/>
    </row>
    <row r="74" spans="1:19" ht="14.25" customHeight="1" x14ac:dyDescent="0.25">
      <c r="A74" s="16" t="s">
        <v>97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>
        <f t="shared" si="2"/>
        <v>0</v>
      </c>
      <c r="O74" s="122"/>
      <c r="P74" s="122"/>
      <c r="Q74" s="122"/>
      <c r="R74" s="122"/>
      <c r="S74" s="122"/>
    </row>
    <row r="75" spans="1:19" ht="14.25" customHeight="1" x14ac:dyDescent="0.25">
      <c r="A75" s="16" t="s">
        <v>98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>
        <f t="shared" si="2"/>
        <v>0</v>
      </c>
      <c r="O75" s="122"/>
      <c r="P75" s="122"/>
      <c r="Q75" s="122"/>
      <c r="R75" s="122"/>
      <c r="S75" s="122"/>
    </row>
    <row r="76" spans="1:19" ht="14.25" customHeight="1" x14ac:dyDescent="0.25">
      <c r="A76" s="16" t="s">
        <v>99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>
        <f t="shared" si="2"/>
        <v>0</v>
      </c>
      <c r="O76" s="122"/>
      <c r="P76" s="122"/>
      <c r="Q76" s="122"/>
      <c r="R76" s="122"/>
      <c r="S76" s="122"/>
    </row>
    <row r="77" spans="1:19" ht="14.25" customHeight="1" x14ac:dyDescent="0.25">
      <c r="A77" s="16" t="s">
        <v>100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>
        <f t="shared" si="2"/>
        <v>0</v>
      </c>
      <c r="O77" s="122"/>
      <c r="P77" s="122"/>
      <c r="Q77" s="122"/>
      <c r="R77" s="122"/>
      <c r="S77" s="122"/>
    </row>
    <row r="78" spans="1:19" ht="14.25" customHeight="1" x14ac:dyDescent="0.25">
      <c r="A78" s="16" t="s">
        <v>101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>
        <f t="shared" si="2"/>
        <v>0</v>
      </c>
      <c r="O78" s="122"/>
      <c r="P78" s="122"/>
      <c r="Q78" s="122"/>
      <c r="R78" s="122"/>
      <c r="S78" s="122"/>
    </row>
    <row r="79" spans="1:19" ht="14.25" customHeight="1" x14ac:dyDescent="0.25">
      <c r="A79" s="16" t="s">
        <v>102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>
        <f t="shared" si="2"/>
        <v>0</v>
      </c>
      <c r="O79" s="122"/>
      <c r="P79" s="122"/>
      <c r="Q79" s="122"/>
      <c r="R79" s="122"/>
      <c r="S79" s="122"/>
    </row>
    <row r="80" spans="1:19" ht="14.25" customHeight="1" x14ac:dyDescent="0.25">
      <c r="A80" s="16" t="s">
        <v>103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>
        <f t="shared" si="2"/>
        <v>0</v>
      </c>
      <c r="O80" s="122"/>
      <c r="P80" s="122"/>
      <c r="Q80" s="122"/>
      <c r="R80" s="122"/>
      <c r="S80" s="122"/>
    </row>
    <row r="81" spans="1:19" ht="14.25" customHeight="1" x14ac:dyDescent="0.25">
      <c r="A81" s="16" t="s">
        <v>104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>
        <f t="shared" si="2"/>
        <v>0</v>
      </c>
      <c r="O81" s="122"/>
      <c r="P81" s="122"/>
      <c r="Q81" s="122"/>
      <c r="R81" s="122"/>
      <c r="S81" s="122"/>
    </row>
    <row r="82" spans="1:19" ht="14.25" customHeight="1" x14ac:dyDescent="0.25">
      <c r="A82" s="16" t="s">
        <v>105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>
        <f t="shared" si="2"/>
        <v>0</v>
      </c>
      <c r="O82" s="122"/>
      <c r="P82" s="122"/>
      <c r="Q82" s="122"/>
      <c r="R82" s="122"/>
      <c r="S82" s="122"/>
    </row>
    <row r="83" spans="1:19" ht="14.25" customHeight="1" x14ac:dyDescent="0.25">
      <c r="A83" s="16" t="s">
        <v>106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>
        <f t="shared" si="2"/>
        <v>0</v>
      </c>
      <c r="O83" s="122"/>
      <c r="P83" s="122"/>
      <c r="Q83" s="122"/>
      <c r="R83" s="122"/>
      <c r="S83" s="122"/>
    </row>
    <row r="84" spans="1:19" ht="14.25" customHeight="1" x14ac:dyDescent="0.25">
      <c r="A84" s="16" t="s">
        <v>107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>
        <f t="shared" si="2"/>
        <v>0</v>
      </c>
      <c r="O84" s="122"/>
      <c r="P84" s="122"/>
      <c r="Q84" s="122"/>
      <c r="R84" s="122"/>
      <c r="S84" s="122"/>
    </row>
    <row r="85" spans="1:19" ht="14.25" customHeight="1" x14ac:dyDescent="0.25">
      <c r="A85" s="16" t="s">
        <v>108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>
        <f t="shared" si="2"/>
        <v>0</v>
      </c>
      <c r="O85" s="122"/>
      <c r="P85" s="122"/>
      <c r="Q85" s="122"/>
      <c r="R85" s="122"/>
      <c r="S85" s="122"/>
    </row>
    <row r="86" spans="1:19" ht="14.25" customHeight="1" x14ac:dyDescent="0.25">
      <c r="A86" s="16" t="s">
        <v>109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>
        <f t="shared" si="2"/>
        <v>0</v>
      </c>
      <c r="O86" s="122"/>
      <c r="P86" s="122"/>
      <c r="Q86" s="122"/>
      <c r="R86" s="122"/>
      <c r="S86" s="122"/>
    </row>
    <row r="87" spans="1:19" ht="14.25" customHeight="1" x14ac:dyDescent="0.25">
      <c r="A87" s="16" t="s">
        <v>110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>
        <f t="shared" si="2"/>
        <v>0</v>
      </c>
      <c r="O87" s="122"/>
      <c r="P87" s="122"/>
      <c r="Q87" s="122"/>
      <c r="R87" s="122"/>
      <c r="S87" s="122"/>
    </row>
    <row r="88" spans="1:19" ht="14.25" customHeight="1" x14ac:dyDescent="0.25">
      <c r="A88" s="16" t="s">
        <v>111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>
        <f t="shared" si="2"/>
        <v>0</v>
      </c>
      <c r="O88" s="122"/>
      <c r="P88" s="122"/>
      <c r="Q88" s="122"/>
      <c r="R88" s="122"/>
      <c r="S88" s="122"/>
    </row>
    <row r="89" spans="1:19" ht="14.25" customHeight="1" x14ac:dyDescent="0.25">
      <c r="A89" s="16" t="s">
        <v>112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>
        <f t="shared" si="2"/>
        <v>0</v>
      </c>
      <c r="O89" s="122"/>
      <c r="P89" s="122"/>
      <c r="Q89" s="122"/>
      <c r="R89" s="122"/>
      <c r="S89" s="122"/>
    </row>
    <row r="90" spans="1:19" ht="14.25" customHeight="1" x14ac:dyDescent="0.25">
      <c r="A90" s="16" t="s">
        <v>113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>
        <f t="shared" si="2"/>
        <v>0</v>
      </c>
      <c r="O90" s="122"/>
      <c r="P90" s="122"/>
      <c r="Q90" s="122"/>
      <c r="R90" s="122"/>
      <c r="S90" s="122"/>
    </row>
    <row r="91" spans="1:19" ht="14.25" customHeight="1" x14ac:dyDescent="0.25">
      <c r="A91" s="16" t="s">
        <v>114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>
        <f t="shared" si="2"/>
        <v>0</v>
      </c>
      <c r="O91" s="122"/>
      <c r="P91" s="122"/>
      <c r="Q91" s="122"/>
      <c r="R91" s="122"/>
      <c r="S91" s="122"/>
    </row>
    <row r="92" spans="1:19" ht="14.25" customHeight="1" x14ac:dyDescent="0.25">
      <c r="A92" s="16" t="s">
        <v>115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>
        <f t="shared" si="2"/>
        <v>0</v>
      </c>
      <c r="O92" s="122"/>
      <c r="P92" s="122"/>
      <c r="Q92" s="122"/>
      <c r="R92" s="122"/>
      <c r="S92" s="122"/>
    </row>
    <row r="93" spans="1:19" ht="14.25" customHeight="1" x14ac:dyDescent="0.25">
      <c r="A93" s="16" t="s">
        <v>116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>
        <f t="shared" si="2"/>
        <v>0</v>
      </c>
      <c r="O93" s="122"/>
      <c r="P93" s="122"/>
      <c r="Q93" s="122"/>
      <c r="R93" s="122"/>
      <c r="S93" s="122"/>
    </row>
    <row r="94" spans="1:19" ht="14.25" customHeight="1" x14ac:dyDescent="0.25">
      <c r="A94" s="16" t="s">
        <v>117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>
        <f t="shared" si="2"/>
        <v>0</v>
      </c>
      <c r="O94" s="122"/>
      <c r="P94" s="122"/>
      <c r="Q94" s="122"/>
      <c r="R94" s="122"/>
      <c r="S94" s="122"/>
    </row>
    <row r="95" spans="1:19" ht="14.25" customHeight="1" x14ac:dyDescent="0.25">
      <c r="A95" s="16" t="s">
        <v>118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>
        <f t="shared" si="2"/>
        <v>0</v>
      </c>
      <c r="O95" s="122"/>
      <c r="P95" s="122"/>
      <c r="Q95" s="122"/>
      <c r="R95" s="122"/>
      <c r="S95" s="122"/>
    </row>
    <row r="96" spans="1:19" ht="14.25" customHeight="1" x14ac:dyDescent="0.25">
      <c r="A96" s="16" t="s">
        <v>119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>
        <f t="shared" si="2"/>
        <v>0</v>
      </c>
      <c r="O96" s="122"/>
      <c r="P96" s="122"/>
      <c r="Q96" s="122"/>
      <c r="R96" s="122"/>
      <c r="S96" s="122"/>
    </row>
    <row r="97" spans="1:19" ht="14.25" customHeight="1" x14ac:dyDescent="0.25">
      <c r="A97" s="16" t="s">
        <v>120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>
        <f t="shared" si="2"/>
        <v>0</v>
      </c>
      <c r="O97" s="122"/>
      <c r="P97" s="122"/>
      <c r="Q97" s="122"/>
      <c r="R97" s="122"/>
      <c r="S97" s="122"/>
    </row>
    <row r="98" spans="1:19" ht="14.25" customHeight="1" x14ac:dyDescent="0.25">
      <c r="A98" s="16" t="s">
        <v>121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>
        <f t="shared" si="2"/>
        <v>0</v>
      </c>
      <c r="O98" s="122"/>
      <c r="P98" s="122"/>
      <c r="Q98" s="122"/>
      <c r="R98" s="122"/>
      <c r="S98" s="122"/>
    </row>
    <row r="99" spans="1:19" ht="14.25" customHeight="1" x14ac:dyDescent="0.25">
      <c r="A99" s="14" t="s">
        <v>122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>
        <f t="shared" si="2"/>
        <v>0</v>
      </c>
      <c r="O99" s="122"/>
      <c r="P99" s="122"/>
      <c r="Q99" s="122"/>
      <c r="R99" s="122"/>
      <c r="S99" s="122"/>
    </row>
    <row r="100" spans="1:19" s="119" customFormat="1" ht="14.25" customHeight="1" x14ac:dyDescent="0.25">
      <c r="A100" s="51" t="s">
        <v>123</v>
      </c>
      <c r="B100" s="129">
        <f>985</f>
        <v>985</v>
      </c>
      <c r="C100" s="52"/>
      <c r="D100" s="52">
        <f>3850</f>
        <v>3850</v>
      </c>
      <c r="E100" s="129">
        <f>3850+795</f>
        <v>4645</v>
      </c>
      <c r="F100" s="52"/>
      <c r="G100" s="52"/>
      <c r="H100" s="129">
        <f>1529</f>
        <v>1529</v>
      </c>
      <c r="I100" s="52"/>
      <c r="J100" s="52"/>
      <c r="K100" s="129">
        <f>720</f>
        <v>720</v>
      </c>
      <c r="L100" s="52"/>
      <c r="M100" s="52"/>
      <c r="N100" s="52">
        <f t="shared" si="2"/>
        <v>11729</v>
      </c>
      <c r="O100" s="139">
        <f>Master!O111</f>
        <v>15983.81</v>
      </c>
      <c r="P100" s="139">
        <f>Master!P111</f>
        <v>7879</v>
      </c>
      <c r="Q100" s="139">
        <f>N100-O100</f>
        <v>-4254.8099999999995</v>
      </c>
      <c r="R100" s="140"/>
      <c r="S100" s="140"/>
    </row>
    <row r="101" spans="1:19" s="119" customFormat="1" ht="14.25" customHeight="1" x14ac:dyDescent="0.25">
      <c r="A101" s="51" t="s">
        <v>124</v>
      </c>
      <c r="B101" s="129"/>
      <c r="C101" s="52"/>
      <c r="D101" s="52"/>
      <c r="E101" s="52"/>
      <c r="F101" s="52"/>
      <c r="G101" s="52"/>
      <c r="H101" s="52">
        <f>13925+520</f>
        <v>14445</v>
      </c>
      <c r="I101" s="52"/>
      <c r="J101" s="52"/>
      <c r="K101" s="129"/>
      <c r="L101" s="52"/>
      <c r="M101" s="52"/>
      <c r="N101" s="52">
        <f t="shared" si="2"/>
        <v>14445</v>
      </c>
      <c r="O101" s="139">
        <f>Master!O112</f>
        <v>11678.64</v>
      </c>
      <c r="P101" s="139">
        <f>Master!P112</f>
        <v>16185</v>
      </c>
      <c r="Q101" s="139">
        <f t="shared" ref="Q101:Q104" si="3">N101-O101</f>
        <v>2766.3600000000006</v>
      </c>
      <c r="R101" s="140"/>
      <c r="S101" s="140"/>
    </row>
    <row r="102" spans="1:19" ht="14.25" customHeight="1" x14ac:dyDescent="0.25">
      <c r="A102" s="16" t="s">
        <v>125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>
        <f t="shared" si="2"/>
        <v>0</v>
      </c>
      <c r="O102" s="121">
        <f>Master!O113</f>
        <v>0</v>
      </c>
      <c r="P102" s="121">
        <f>Master!P113</f>
        <v>0</v>
      </c>
      <c r="Q102" s="121">
        <f t="shared" si="3"/>
        <v>0</v>
      </c>
      <c r="R102" s="122"/>
      <c r="S102" s="122"/>
    </row>
    <row r="103" spans="1:19" s="119" customFormat="1" ht="14.25" customHeight="1" x14ac:dyDescent="0.25">
      <c r="A103" s="51" t="s">
        <v>126</v>
      </c>
      <c r="B103" s="52"/>
      <c r="C103" s="52"/>
      <c r="D103" s="52"/>
      <c r="E103" s="52">
        <f>18000</f>
        <v>18000</v>
      </c>
      <c r="F103" s="52">
        <f>16400</f>
        <v>16400</v>
      </c>
      <c r="G103" s="52"/>
      <c r="H103" s="52"/>
      <c r="I103" s="52"/>
      <c r="J103" s="52"/>
      <c r="K103" s="52"/>
      <c r="L103" s="52"/>
      <c r="M103" s="52"/>
      <c r="N103" s="52">
        <f t="shared" si="2"/>
        <v>34400</v>
      </c>
      <c r="O103" s="139">
        <f>Master!O114</f>
        <v>18068.84</v>
      </c>
      <c r="P103" s="139">
        <f>Master!P114</f>
        <v>31260</v>
      </c>
      <c r="Q103" s="139">
        <f t="shared" si="3"/>
        <v>16331.16</v>
      </c>
      <c r="R103" s="140"/>
      <c r="S103" s="140"/>
    </row>
    <row r="104" spans="1:19" s="119" customFormat="1" ht="14.25" customHeight="1" x14ac:dyDescent="0.25">
      <c r="A104" s="51" t="s">
        <v>127</v>
      </c>
      <c r="B104" s="129">
        <f>70+50+843.75</f>
        <v>963.75</v>
      </c>
      <c r="C104" s="129">
        <f>50+50+562.5</f>
        <v>662.5</v>
      </c>
      <c r="D104" s="129">
        <f>612.5</f>
        <v>612.5</v>
      </c>
      <c r="E104" s="129">
        <f>140+100+100</f>
        <v>340</v>
      </c>
      <c r="F104" s="129">
        <f>772.5+100</f>
        <v>872.5</v>
      </c>
      <c r="G104" s="129">
        <f>575+100+1335</f>
        <v>2010</v>
      </c>
      <c r="H104" s="129">
        <f>1335+50+125</f>
        <v>1510</v>
      </c>
      <c r="I104" s="129">
        <f>100+100+100</f>
        <v>300</v>
      </c>
      <c r="J104" s="129">
        <f>100+100+100</f>
        <v>300</v>
      </c>
      <c r="K104" s="129">
        <f>125+797.5+100+100</f>
        <v>1122.5</v>
      </c>
      <c r="L104" s="129">
        <f>100+100+1335</f>
        <v>1535</v>
      </c>
      <c r="M104" s="52"/>
      <c r="N104" s="52">
        <f t="shared" si="2"/>
        <v>10228.75</v>
      </c>
      <c r="O104" s="139">
        <f>Master!O115</f>
        <v>15125.06</v>
      </c>
      <c r="P104" s="139">
        <f>Master!P115</f>
        <v>6270</v>
      </c>
      <c r="Q104" s="139">
        <f t="shared" si="3"/>
        <v>-4896.3099999999995</v>
      </c>
      <c r="R104" s="140"/>
      <c r="S104" s="140"/>
    </row>
    <row r="105" spans="1:19" ht="14.25" customHeight="1" x14ac:dyDescent="0.25">
      <c r="A105" s="14" t="s">
        <v>128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>
        <f t="shared" si="2"/>
        <v>0</v>
      </c>
      <c r="O105" s="122"/>
      <c r="P105" s="122"/>
      <c r="Q105" s="122"/>
      <c r="R105" s="122"/>
      <c r="S105" s="122"/>
    </row>
    <row r="106" spans="1:19" ht="14.25" customHeight="1" x14ac:dyDescent="0.25">
      <c r="A106" s="16" t="s">
        <v>129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>
        <f t="shared" si="2"/>
        <v>0</v>
      </c>
      <c r="O106" s="122"/>
      <c r="P106" s="122"/>
      <c r="Q106" s="122"/>
      <c r="R106" s="122"/>
      <c r="S106" s="122"/>
    </row>
    <row r="107" spans="1:19" ht="14.25" customHeight="1" x14ac:dyDescent="0.25">
      <c r="A107" s="16" t="s">
        <v>130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>
        <f t="shared" si="2"/>
        <v>0</v>
      </c>
      <c r="O107" s="122"/>
      <c r="P107" s="122"/>
      <c r="Q107" s="122"/>
      <c r="R107" s="122"/>
      <c r="S107" s="122"/>
    </row>
    <row r="108" spans="1:19" ht="14.25" customHeight="1" x14ac:dyDescent="0.25">
      <c r="A108" s="16" t="s">
        <v>131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>
        <f t="shared" si="2"/>
        <v>0</v>
      </c>
      <c r="O108" s="122"/>
      <c r="P108" s="122"/>
      <c r="Q108" s="122"/>
      <c r="R108" s="122"/>
      <c r="S108" s="122"/>
    </row>
    <row r="109" spans="1:19" ht="14.25" customHeight="1" x14ac:dyDescent="0.25">
      <c r="A109" s="16" t="s">
        <v>132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>
        <f t="shared" si="2"/>
        <v>0</v>
      </c>
      <c r="O109" s="122"/>
      <c r="P109" s="122"/>
      <c r="Q109" s="122"/>
      <c r="R109" s="122"/>
      <c r="S109" s="122"/>
    </row>
    <row r="110" spans="1:19" ht="14.25" customHeight="1" x14ac:dyDescent="0.25">
      <c r="A110" s="16" t="s">
        <v>133</v>
      </c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>
        <f t="shared" si="2"/>
        <v>0</v>
      </c>
      <c r="O110" s="122"/>
      <c r="P110" s="122"/>
      <c r="Q110" s="122"/>
      <c r="R110" s="122"/>
      <c r="S110" s="122"/>
    </row>
    <row r="111" spans="1:19" ht="14.25" customHeight="1" x14ac:dyDescent="0.25">
      <c r="A111" s="16" t="s">
        <v>134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>
        <f t="shared" si="2"/>
        <v>0</v>
      </c>
      <c r="O111" s="122"/>
      <c r="P111" s="122"/>
      <c r="Q111" s="122"/>
      <c r="R111" s="122"/>
      <c r="S111" s="122"/>
    </row>
    <row r="112" spans="1:19" ht="14.25" customHeight="1" x14ac:dyDescent="0.25">
      <c r="A112" s="16" t="s">
        <v>135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>
        <f t="shared" si="2"/>
        <v>0</v>
      </c>
      <c r="O112" s="122"/>
      <c r="P112" s="122"/>
      <c r="Q112" s="122"/>
      <c r="R112" s="122"/>
      <c r="S112" s="122"/>
    </row>
    <row r="113" spans="1:19" ht="14.25" customHeight="1" x14ac:dyDescent="0.25">
      <c r="A113" s="16" t="s">
        <v>40</v>
      </c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>
        <f t="shared" si="2"/>
        <v>0</v>
      </c>
      <c r="O113" s="122"/>
      <c r="P113" s="122"/>
      <c r="Q113" s="122"/>
      <c r="R113" s="122"/>
      <c r="S113" s="122"/>
    </row>
    <row r="114" spans="1:19" ht="14.25" customHeight="1" x14ac:dyDescent="0.25">
      <c r="A114" s="16" t="s">
        <v>136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>
        <f t="shared" si="2"/>
        <v>0</v>
      </c>
      <c r="O114" s="122"/>
      <c r="P114" s="122"/>
      <c r="Q114" s="122"/>
      <c r="R114" s="122"/>
      <c r="S114" s="122"/>
    </row>
    <row r="115" spans="1:19" ht="14.25" customHeight="1" x14ac:dyDescent="0.25">
      <c r="A115" s="16" t="s">
        <v>137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>
        <f t="shared" si="2"/>
        <v>0</v>
      </c>
      <c r="O115" s="122"/>
      <c r="P115" s="122"/>
      <c r="Q115" s="122"/>
      <c r="R115" s="122"/>
      <c r="S115" s="122"/>
    </row>
    <row r="116" spans="1:19" ht="14.25" customHeight="1" x14ac:dyDescent="0.25">
      <c r="A116" s="14" t="s">
        <v>138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>
        <f t="shared" si="2"/>
        <v>0</v>
      </c>
      <c r="O116" s="122"/>
      <c r="P116" s="122"/>
      <c r="Q116" s="122"/>
      <c r="R116" s="122"/>
      <c r="S116" s="122"/>
    </row>
    <row r="117" spans="1:19" ht="14.25" customHeight="1" x14ac:dyDescent="0.25">
      <c r="A117" s="16" t="s">
        <v>139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>
        <f t="shared" si="2"/>
        <v>0</v>
      </c>
      <c r="O117" s="122"/>
      <c r="P117" s="122"/>
      <c r="Q117" s="122"/>
      <c r="R117" s="122"/>
      <c r="S117" s="122"/>
    </row>
    <row r="118" spans="1:19" ht="14.25" customHeight="1" x14ac:dyDescent="0.25">
      <c r="A118" s="16" t="s">
        <v>140</v>
      </c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>
        <f t="shared" si="2"/>
        <v>0</v>
      </c>
      <c r="O118" s="122"/>
      <c r="P118" s="122"/>
      <c r="Q118" s="122"/>
      <c r="R118" s="122"/>
      <c r="S118" s="122"/>
    </row>
    <row r="119" spans="1:19" ht="14.25" customHeight="1" x14ac:dyDescent="0.25">
      <c r="A119" s="16" t="s">
        <v>141</v>
      </c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>
        <f t="shared" si="2"/>
        <v>0</v>
      </c>
      <c r="O119" s="122"/>
      <c r="P119" s="122"/>
      <c r="Q119" s="122"/>
      <c r="R119" s="122"/>
      <c r="S119" s="122"/>
    </row>
    <row r="120" spans="1:19" ht="14.25" customHeight="1" x14ac:dyDescent="0.25">
      <c r="A120" s="16" t="s">
        <v>142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>
        <f t="shared" si="2"/>
        <v>0</v>
      </c>
      <c r="O120" s="122"/>
      <c r="P120" s="122"/>
      <c r="Q120" s="122"/>
      <c r="R120" s="122"/>
      <c r="S120" s="122"/>
    </row>
    <row r="121" spans="1:19" ht="14.25" customHeight="1" x14ac:dyDescent="0.25">
      <c r="A121" s="16" t="s">
        <v>143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>
        <f t="shared" si="2"/>
        <v>0</v>
      </c>
      <c r="O121" s="122"/>
      <c r="P121" s="122"/>
      <c r="Q121" s="122"/>
      <c r="R121" s="122"/>
      <c r="S121" s="122"/>
    </row>
    <row r="122" spans="1:19" ht="14.25" customHeight="1" x14ac:dyDescent="0.25">
      <c r="A122" s="16" t="s">
        <v>144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>
        <f t="shared" si="2"/>
        <v>0</v>
      </c>
      <c r="O122" s="122"/>
      <c r="P122" s="122"/>
      <c r="Q122" s="122"/>
      <c r="R122" s="122"/>
      <c r="S122" s="122"/>
    </row>
    <row r="123" spans="1:19" ht="14.25" customHeight="1" x14ac:dyDescent="0.25">
      <c r="A123" s="16" t="s">
        <v>145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>
        <f t="shared" si="2"/>
        <v>0</v>
      </c>
      <c r="O123" s="122"/>
      <c r="P123" s="122"/>
      <c r="Q123" s="122"/>
      <c r="R123" s="122"/>
      <c r="S123" s="122"/>
    </row>
    <row r="124" spans="1:19" ht="14.25" customHeight="1" x14ac:dyDescent="0.25">
      <c r="A124" s="16" t="s">
        <v>146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>
        <f t="shared" si="2"/>
        <v>0</v>
      </c>
      <c r="O124" s="122"/>
      <c r="P124" s="122"/>
      <c r="Q124" s="122"/>
      <c r="R124" s="122"/>
      <c r="S124" s="122"/>
    </row>
    <row r="125" spans="1:19" ht="14.25" customHeight="1" x14ac:dyDescent="0.25">
      <c r="A125" s="16" t="s">
        <v>147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>
        <f t="shared" si="2"/>
        <v>0</v>
      </c>
      <c r="O125" s="122"/>
      <c r="P125" s="122"/>
      <c r="Q125" s="122"/>
      <c r="R125" s="122"/>
      <c r="S125" s="122"/>
    </row>
    <row r="126" spans="1:19" ht="14.25" customHeight="1" x14ac:dyDescent="0.25">
      <c r="A126" s="16" t="s">
        <v>148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>
        <f t="shared" si="2"/>
        <v>0</v>
      </c>
      <c r="O126" s="122"/>
      <c r="P126" s="122"/>
      <c r="Q126" s="122"/>
      <c r="R126" s="122"/>
      <c r="S126" s="122"/>
    </row>
    <row r="127" spans="1:19" ht="14.25" customHeight="1" x14ac:dyDescent="0.25">
      <c r="A127" s="16" t="s">
        <v>149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>
        <f t="shared" si="2"/>
        <v>0</v>
      </c>
      <c r="O127" s="122"/>
      <c r="P127" s="122"/>
      <c r="Q127" s="122"/>
      <c r="R127" s="122"/>
      <c r="S127" s="122"/>
    </row>
    <row r="128" spans="1:19" ht="14.25" customHeight="1" x14ac:dyDescent="0.25">
      <c r="A128" s="16" t="s">
        <v>150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>
        <f t="shared" si="2"/>
        <v>0</v>
      </c>
      <c r="O128" s="122"/>
      <c r="P128" s="122"/>
      <c r="Q128" s="122"/>
      <c r="R128" s="122"/>
      <c r="S128" s="122"/>
    </row>
    <row r="129" spans="1:19" ht="14.25" customHeight="1" x14ac:dyDescent="0.25">
      <c r="A129" s="16" t="s">
        <v>151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>
        <f t="shared" si="2"/>
        <v>0</v>
      </c>
      <c r="O129" s="122"/>
      <c r="P129" s="122"/>
      <c r="Q129" s="122"/>
      <c r="R129" s="122"/>
      <c r="S129" s="122"/>
    </row>
    <row r="130" spans="1:19" ht="14.25" customHeight="1" x14ac:dyDescent="0.25">
      <c r="A130" s="45" t="s">
        <v>154</v>
      </c>
      <c r="B130" s="31">
        <f>B4+B5+B6+B7+B8+B31</f>
        <v>13850</v>
      </c>
      <c r="C130" s="31">
        <f t="shared" ref="C130:Q130" si="4">C4+C5+C6+C7+C8+C31</f>
        <v>12497</v>
      </c>
      <c r="D130" s="31">
        <f t="shared" si="4"/>
        <v>9150</v>
      </c>
      <c r="E130" s="31">
        <f t="shared" si="4"/>
        <v>48979</v>
      </c>
      <c r="F130" s="31">
        <f t="shared" si="4"/>
        <v>39799</v>
      </c>
      <c r="G130" s="31">
        <f t="shared" si="4"/>
        <v>13399</v>
      </c>
      <c r="H130" s="31">
        <f t="shared" si="4"/>
        <v>40449</v>
      </c>
      <c r="I130" s="31">
        <f t="shared" si="4"/>
        <v>6160</v>
      </c>
      <c r="J130" s="31">
        <f t="shared" si="4"/>
        <v>5440</v>
      </c>
      <c r="K130" s="31">
        <f t="shared" si="4"/>
        <v>10370</v>
      </c>
      <c r="L130" s="31">
        <f t="shared" si="4"/>
        <v>12660</v>
      </c>
      <c r="M130" s="31">
        <f t="shared" si="4"/>
        <v>0</v>
      </c>
      <c r="N130" s="31">
        <f t="shared" si="4"/>
        <v>212753</v>
      </c>
      <c r="O130" s="31">
        <f>O4+O5+O6+O7+O8+O31</f>
        <v>222335.54</v>
      </c>
      <c r="P130" s="31">
        <f t="shared" si="4"/>
        <v>172038</v>
      </c>
      <c r="Q130" s="31">
        <f t="shared" si="4"/>
        <v>-9582.5399999999936</v>
      </c>
    </row>
    <row r="131" spans="1:19" ht="14.25" customHeight="1" x14ac:dyDescent="0.25">
      <c r="A131" s="42" t="s">
        <v>157</v>
      </c>
      <c r="B131" s="31">
        <f>B68+B100+B101+B102+B103+B104</f>
        <v>1948.75</v>
      </c>
      <c r="C131" s="31">
        <f t="shared" ref="C131:Q131" si="5">C68+C100+C101+C102+C103+C104</f>
        <v>662.5</v>
      </c>
      <c r="D131" s="31">
        <f t="shared" si="5"/>
        <v>4462.5</v>
      </c>
      <c r="E131" s="31">
        <f t="shared" si="5"/>
        <v>22985</v>
      </c>
      <c r="F131" s="31">
        <f t="shared" si="5"/>
        <v>17272.5</v>
      </c>
      <c r="G131" s="31">
        <f t="shared" si="5"/>
        <v>2010</v>
      </c>
      <c r="H131" s="31">
        <f t="shared" si="5"/>
        <v>17944</v>
      </c>
      <c r="I131" s="31">
        <f t="shared" si="5"/>
        <v>300</v>
      </c>
      <c r="J131" s="31">
        <f t="shared" si="5"/>
        <v>760</v>
      </c>
      <c r="K131" s="31">
        <f t="shared" si="5"/>
        <v>3702.5</v>
      </c>
      <c r="L131" s="31">
        <f t="shared" si="5"/>
        <v>1535</v>
      </c>
      <c r="M131" s="31">
        <f t="shared" si="5"/>
        <v>250</v>
      </c>
      <c r="N131" s="31">
        <f t="shared" si="5"/>
        <v>73832.75</v>
      </c>
      <c r="O131" s="31">
        <f t="shared" si="5"/>
        <v>63886.349999999991</v>
      </c>
      <c r="P131" s="31">
        <f t="shared" si="5"/>
        <v>64644</v>
      </c>
      <c r="Q131" s="31">
        <f t="shared" si="5"/>
        <v>9946.4000000000015</v>
      </c>
    </row>
    <row r="132" spans="1:19" ht="14.25" customHeight="1" x14ac:dyDescent="0.25">
      <c r="A132" s="42" t="s">
        <v>216</v>
      </c>
      <c r="B132" s="31">
        <f>B130-B131</f>
        <v>11901.25</v>
      </c>
      <c r="C132" s="31">
        <f t="shared" ref="C132:N132" si="6">C130-C131</f>
        <v>11834.5</v>
      </c>
      <c r="D132" s="31">
        <f t="shared" si="6"/>
        <v>4687.5</v>
      </c>
      <c r="E132" s="31">
        <f t="shared" si="6"/>
        <v>25994</v>
      </c>
      <c r="F132" s="31">
        <f t="shared" si="6"/>
        <v>22526.5</v>
      </c>
      <c r="G132" s="31">
        <f t="shared" si="6"/>
        <v>11389</v>
      </c>
      <c r="H132" s="31">
        <f t="shared" si="6"/>
        <v>22505</v>
      </c>
      <c r="I132" s="31">
        <f t="shared" si="6"/>
        <v>5860</v>
      </c>
      <c r="J132" s="31">
        <f t="shared" si="6"/>
        <v>4680</v>
      </c>
      <c r="K132" s="31">
        <f t="shared" si="6"/>
        <v>6667.5</v>
      </c>
      <c r="L132" s="31">
        <f t="shared" si="6"/>
        <v>11125</v>
      </c>
      <c r="M132" s="31">
        <f t="shared" si="6"/>
        <v>-250</v>
      </c>
      <c r="N132" s="31">
        <f t="shared" si="6"/>
        <v>138920.25</v>
      </c>
      <c r="O132" s="31">
        <f t="shared" ref="O132" si="7">O130-O131</f>
        <v>158449.19</v>
      </c>
      <c r="P132" s="31">
        <f t="shared" ref="P132" si="8">P130-P131</f>
        <v>107394</v>
      </c>
      <c r="Q132" s="31">
        <f t="shared" ref="Q132" si="9">Q130-Q131</f>
        <v>-19528.939999999995</v>
      </c>
    </row>
    <row r="133" spans="1:19" ht="14.25" customHeight="1" x14ac:dyDescent="0.25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</row>
    <row r="134" spans="1:19" ht="14.25" customHeight="1" x14ac:dyDescent="0.25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</row>
    <row r="135" spans="1:19" ht="14.25" customHeight="1" x14ac:dyDescent="0.25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</row>
    <row r="136" spans="1:19" ht="14.25" customHeight="1" x14ac:dyDescent="0.25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</row>
    <row r="137" spans="1:19" ht="14.25" customHeight="1" x14ac:dyDescent="0.25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</row>
    <row r="138" spans="1:19" ht="14.25" customHeight="1" x14ac:dyDescent="0.25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</row>
    <row r="139" spans="1:19" ht="14.25" customHeight="1" x14ac:dyDescent="0.25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</row>
    <row r="140" spans="1:19" ht="14.25" customHeight="1" x14ac:dyDescent="0.25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</row>
    <row r="141" spans="1:19" ht="14.25" customHeight="1" x14ac:dyDescent="0.25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</row>
    <row r="142" spans="1:19" ht="14.25" customHeight="1" x14ac:dyDescent="0.25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</row>
    <row r="143" spans="1:19" ht="14.25" customHeight="1" x14ac:dyDescent="0.25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</row>
    <row r="144" spans="1:19" ht="14.25" customHeight="1" x14ac:dyDescent="0.25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</row>
    <row r="145" spans="2:14" ht="14.25" customHeight="1" x14ac:dyDescent="0.25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</row>
    <row r="146" spans="2:14" ht="14.25" customHeight="1" x14ac:dyDescent="0.25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</row>
    <row r="147" spans="2:14" ht="14.25" customHeight="1" x14ac:dyDescent="0.25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</row>
    <row r="148" spans="2:14" ht="14.25" customHeight="1" x14ac:dyDescent="0.25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</row>
    <row r="149" spans="2:14" ht="14.25" customHeight="1" x14ac:dyDescent="0.25"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</row>
    <row r="150" spans="2:14" ht="14.25" customHeight="1" x14ac:dyDescent="0.25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</row>
    <row r="151" spans="2:14" ht="14.25" customHeight="1" x14ac:dyDescent="0.25"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</row>
    <row r="152" spans="2:14" ht="14.25" customHeight="1" x14ac:dyDescent="0.25"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</row>
    <row r="153" spans="2:14" ht="14.25" customHeight="1" x14ac:dyDescent="0.25"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</row>
    <row r="154" spans="2:14" ht="14.25" customHeight="1" x14ac:dyDescent="0.25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</row>
    <row r="155" spans="2:14" ht="14.25" customHeight="1" x14ac:dyDescent="0.25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</row>
    <row r="156" spans="2:14" ht="14.25" customHeight="1" x14ac:dyDescent="0.25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</row>
    <row r="157" spans="2:14" ht="14.25" customHeight="1" x14ac:dyDescent="0.25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</row>
    <row r="158" spans="2:14" ht="14.25" customHeight="1" x14ac:dyDescent="0.25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</row>
    <row r="159" spans="2:14" ht="14.25" customHeight="1" x14ac:dyDescent="0.25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</row>
    <row r="160" spans="2:14" ht="14.25" customHeight="1" x14ac:dyDescent="0.25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</row>
    <row r="161" spans="2:14" ht="14.25" customHeight="1" x14ac:dyDescent="0.25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</row>
    <row r="162" spans="2:14" ht="14.25" customHeight="1" x14ac:dyDescent="0.25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</row>
    <row r="163" spans="2:14" ht="14.25" customHeight="1" x14ac:dyDescent="0.25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</row>
    <row r="164" spans="2:14" ht="14.25" customHeight="1" x14ac:dyDescent="0.25"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</row>
    <row r="165" spans="2:14" ht="14.25" customHeight="1" x14ac:dyDescent="0.25"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</row>
    <row r="166" spans="2:14" ht="14.25" customHeight="1" x14ac:dyDescent="0.25"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</row>
    <row r="167" spans="2:14" ht="14.25" customHeight="1" x14ac:dyDescent="0.25"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</row>
    <row r="168" spans="2:14" ht="14.25" customHeight="1" x14ac:dyDescent="0.25"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</row>
    <row r="169" spans="2:14" ht="14.25" customHeight="1" x14ac:dyDescent="0.25"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</row>
    <row r="170" spans="2:14" ht="14.25" customHeight="1" x14ac:dyDescent="0.25"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</row>
    <row r="171" spans="2:14" ht="14.25" customHeight="1" x14ac:dyDescent="0.25"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</row>
    <row r="172" spans="2:14" ht="14.25" customHeight="1" x14ac:dyDescent="0.25"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</row>
    <row r="173" spans="2:14" ht="14.25" customHeight="1" x14ac:dyDescent="0.25"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</row>
    <row r="174" spans="2:14" ht="14.25" customHeight="1" x14ac:dyDescent="0.25"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</row>
    <row r="175" spans="2:14" ht="14.25" customHeight="1" x14ac:dyDescent="0.25"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</row>
    <row r="176" spans="2:14" ht="14.25" customHeight="1" x14ac:dyDescent="0.25"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</row>
    <row r="177" spans="2:14" ht="14.25" customHeight="1" x14ac:dyDescent="0.25"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</row>
    <row r="178" spans="2:14" ht="14.25" customHeight="1" x14ac:dyDescent="0.25"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</row>
    <row r="179" spans="2:14" ht="14.25" customHeight="1" x14ac:dyDescent="0.25"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</row>
    <row r="180" spans="2:14" ht="14.25" customHeight="1" x14ac:dyDescent="0.25"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</row>
    <row r="181" spans="2:14" ht="14.25" customHeight="1" x14ac:dyDescent="0.25"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</row>
    <row r="182" spans="2:14" ht="14.25" customHeight="1" x14ac:dyDescent="0.25"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</row>
    <row r="183" spans="2:14" ht="14.25" customHeight="1" x14ac:dyDescent="0.25"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</row>
    <row r="184" spans="2:14" ht="14.25" customHeight="1" x14ac:dyDescent="0.25"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</row>
    <row r="185" spans="2:14" ht="14.25" customHeight="1" x14ac:dyDescent="0.25"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</row>
    <row r="186" spans="2:14" ht="14.25" customHeight="1" x14ac:dyDescent="0.25"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</row>
    <row r="187" spans="2:14" ht="14.25" customHeight="1" x14ac:dyDescent="0.25"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</row>
    <row r="188" spans="2:14" ht="14.25" customHeight="1" x14ac:dyDescent="0.25"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</row>
    <row r="189" spans="2:14" ht="14.25" customHeight="1" x14ac:dyDescent="0.25"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</row>
    <row r="190" spans="2:14" ht="14.25" customHeight="1" x14ac:dyDescent="0.25"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</row>
    <row r="191" spans="2:14" ht="14.25" customHeight="1" x14ac:dyDescent="0.25"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</row>
    <row r="192" spans="2:14" ht="14.25" customHeight="1" x14ac:dyDescent="0.25"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</row>
    <row r="193" spans="2:14" ht="14.25" customHeight="1" x14ac:dyDescent="0.25"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</row>
    <row r="194" spans="2:14" ht="14.25" customHeight="1" x14ac:dyDescent="0.25"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</row>
    <row r="195" spans="2:14" ht="14.25" customHeight="1" x14ac:dyDescent="0.25"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</row>
    <row r="196" spans="2:14" ht="14.25" customHeight="1" x14ac:dyDescent="0.25"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</row>
    <row r="197" spans="2:14" ht="14.25" customHeight="1" x14ac:dyDescent="0.25"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</row>
    <row r="198" spans="2:14" ht="14.25" customHeight="1" x14ac:dyDescent="0.25"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</row>
    <row r="199" spans="2:14" ht="14.25" customHeight="1" x14ac:dyDescent="0.25"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</row>
    <row r="200" spans="2:14" ht="14.25" customHeight="1" x14ac:dyDescent="0.25"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</row>
    <row r="201" spans="2:14" ht="14.25" customHeight="1" x14ac:dyDescent="0.25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</row>
    <row r="202" spans="2:14" ht="14.25" customHeight="1" x14ac:dyDescent="0.25"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</row>
    <row r="203" spans="2:14" ht="14.25" customHeight="1" x14ac:dyDescent="0.25"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</row>
    <row r="204" spans="2:14" ht="14.25" customHeight="1" x14ac:dyDescent="0.25"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</row>
    <row r="205" spans="2:14" ht="14.25" customHeight="1" x14ac:dyDescent="0.25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</row>
    <row r="206" spans="2:14" ht="14.25" customHeight="1" x14ac:dyDescent="0.25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</row>
    <row r="207" spans="2:14" ht="14.25" customHeight="1" x14ac:dyDescent="0.25"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</row>
    <row r="208" spans="2:14" ht="14.25" customHeight="1" x14ac:dyDescent="0.25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</row>
    <row r="209" spans="2:14" ht="14.25" customHeight="1" x14ac:dyDescent="0.25"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</row>
    <row r="210" spans="2:14" ht="14.25" customHeight="1" x14ac:dyDescent="0.25"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</row>
    <row r="211" spans="2:14" ht="14.25" customHeight="1" x14ac:dyDescent="0.25"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</row>
    <row r="212" spans="2:14" ht="14.25" customHeight="1" x14ac:dyDescent="0.25"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</row>
    <row r="213" spans="2:14" ht="14.25" customHeight="1" x14ac:dyDescent="0.25"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</row>
    <row r="214" spans="2:14" ht="14.25" customHeight="1" x14ac:dyDescent="0.25"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</row>
    <row r="215" spans="2:14" ht="14.25" customHeight="1" x14ac:dyDescent="0.25"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</row>
    <row r="216" spans="2:14" ht="14.25" customHeight="1" x14ac:dyDescent="0.25"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</row>
    <row r="217" spans="2:14" ht="14.25" customHeight="1" x14ac:dyDescent="0.25"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</row>
    <row r="218" spans="2:14" ht="14.25" customHeight="1" x14ac:dyDescent="0.25"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</row>
    <row r="219" spans="2:14" ht="14.25" customHeight="1" x14ac:dyDescent="0.25"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</row>
    <row r="220" spans="2:14" ht="14.25" customHeight="1" x14ac:dyDescent="0.25"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</row>
    <row r="221" spans="2:14" ht="14.25" customHeight="1" x14ac:dyDescent="0.25"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</row>
    <row r="222" spans="2:14" ht="14.25" customHeight="1" x14ac:dyDescent="0.25"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</row>
    <row r="223" spans="2:14" ht="14.25" customHeight="1" x14ac:dyDescent="0.25"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</row>
    <row r="224" spans="2:14" ht="14.25" customHeight="1" x14ac:dyDescent="0.25"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</row>
    <row r="225" spans="2:14" ht="14.25" customHeight="1" x14ac:dyDescent="0.25"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</row>
    <row r="226" spans="2:14" ht="14.25" customHeight="1" x14ac:dyDescent="0.25"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</row>
    <row r="227" spans="2:14" ht="14.25" customHeight="1" x14ac:dyDescent="0.25"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</row>
    <row r="228" spans="2:14" ht="14.25" customHeight="1" x14ac:dyDescent="0.25"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</row>
    <row r="229" spans="2:14" ht="14.25" customHeight="1" x14ac:dyDescent="0.25"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</row>
    <row r="230" spans="2:14" ht="14.25" customHeight="1" x14ac:dyDescent="0.25"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</row>
    <row r="231" spans="2:14" ht="14.25" customHeight="1" x14ac:dyDescent="0.25"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</row>
    <row r="232" spans="2:14" ht="14.25" customHeight="1" x14ac:dyDescent="0.25"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</row>
    <row r="233" spans="2:14" ht="14.25" customHeight="1" x14ac:dyDescent="0.25"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</row>
    <row r="234" spans="2:14" ht="14.25" customHeight="1" x14ac:dyDescent="0.25"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</row>
    <row r="235" spans="2:14" ht="14.25" customHeight="1" x14ac:dyDescent="0.25"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</row>
    <row r="236" spans="2:14" ht="14.25" customHeight="1" x14ac:dyDescent="0.25"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</row>
    <row r="237" spans="2:14" ht="14.25" customHeight="1" x14ac:dyDescent="0.25"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</row>
    <row r="238" spans="2:14" ht="14.25" customHeight="1" x14ac:dyDescent="0.25"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</row>
    <row r="239" spans="2:14" ht="14.25" customHeight="1" x14ac:dyDescent="0.25"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</row>
    <row r="240" spans="2:14" ht="14.25" customHeight="1" x14ac:dyDescent="0.25"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</row>
    <row r="241" spans="2:14" ht="14.25" customHeight="1" x14ac:dyDescent="0.25"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</row>
    <row r="242" spans="2:14" ht="14.25" customHeight="1" x14ac:dyDescent="0.25"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</row>
    <row r="243" spans="2:14" ht="14.25" customHeight="1" x14ac:dyDescent="0.25"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</row>
    <row r="244" spans="2:14" ht="14.25" customHeight="1" x14ac:dyDescent="0.25"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</row>
    <row r="245" spans="2:14" ht="14.25" customHeight="1" x14ac:dyDescent="0.25"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</row>
    <row r="246" spans="2:14" ht="14.25" customHeight="1" x14ac:dyDescent="0.25"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</row>
    <row r="247" spans="2:14" ht="14.25" customHeight="1" x14ac:dyDescent="0.25"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</row>
    <row r="248" spans="2:14" ht="14.25" customHeight="1" x14ac:dyDescent="0.25"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</row>
    <row r="249" spans="2:14" ht="14.25" customHeight="1" x14ac:dyDescent="0.25"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</row>
    <row r="250" spans="2:14" ht="14.25" customHeight="1" x14ac:dyDescent="0.25"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</row>
    <row r="251" spans="2:14" ht="14.25" customHeight="1" x14ac:dyDescent="0.25"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</row>
    <row r="252" spans="2:14" ht="14.25" customHeight="1" x14ac:dyDescent="0.25"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</row>
    <row r="253" spans="2:14" ht="14.25" customHeight="1" x14ac:dyDescent="0.25"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</row>
    <row r="254" spans="2:14" ht="14.25" customHeight="1" x14ac:dyDescent="0.25"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</row>
    <row r="255" spans="2:14" ht="14.25" customHeight="1" x14ac:dyDescent="0.25"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</row>
    <row r="256" spans="2:14" ht="14.25" customHeight="1" x14ac:dyDescent="0.25"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</row>
    <row r="257" spans="2:14" ht="14.25" customHeight="1" x14ac:dyDescent="0.25"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</row>
    <row r="258" spans="2:14" ht="14.25" customHeight="1" x14ac:dyDescent="0.25"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</row>
    <row r="259" spans="2:14" ht="14.25" customHeight="1" x14ac:dyDescent="0.25"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</row>
    <row r="260" spans="2:14" ht="14.25" customHeight="1" x14ac:dyDescent="0.25"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</row>
    <row r="261" spans="2:14" ht="14.25" customHeight="1" x14ac:dyDescent="0.25"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</row>
    <row r="262" spans="2:14" ht="14.25" customHeight="1" x14ac:dyDescent="0.25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</row>
    <row r="263" spans="2:14" ht="14.25" customHeight="1" x14ac:dyDescent="0.25"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</row>
    <row r="264" spans="2:14" ht="14.25" customHeight="1" x14ac:dyDescent="0.25"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</row>
    <row r="265" spans="2:14" ht="14.25" customHeight="1" x14ac:dyDescent="0.25"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</row>
    <row r="266" spans="2:14" ht="14.25" customHeight="1" x14ac:dyDescent="0.25"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</row>
    <row r="267" spans="2:14" ht="14.25" customHeight="1" x14ac:dyDescent="0.25"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</row>
    <row r="268" spans="2:14" ht="14.25" customHeight="1" x14ac:dyDescent="0.25"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</row>
    <row r="269" spans="2:14" ht="14.25" customHeight="1" x14ac:dyDescent="0.25"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</row>
    <row r="270" spans="2:14" ht="14.25" customHeight="1" x14ac:dyDescent="0.25"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</row>
    <row r="271" spans="2:14" ht="14.25" customHeight="1" x14ac:dyDescent="0.25"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</row>
    <row r="272" spans="2:14" ht="14.25" customHeight="1" x14ac:dyDescent="0.25"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</row>
    <row r="273" spans="2:14" ht="14.25" customHeight="1" x14ac:dyDescent="0.25"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</row>
    <row r="274" spans="2:14" ht="14.25" customHeight="1" x14ac:dyDescent="0.25"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</row>
    <row r="275" spans="2:14" ht="14.25" customHeight="1" x14ac:dyDescent="0.25"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</row>
    <row r="276" spans="2:14" ht="14.25" customHeight="1" x14ac:dyDescent="0.25"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</row>
    <row r="277" spans="2:14" ht="14.25" customHeight="1" x14ac:dyDescent="0.25"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</row>
    <row r="278" spans="2:14" ht="14.25" customHeight="1" x14ac:dyDescent="0.25"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</row>
    <row r="279" spans="2:14" ht="14.25" customHeight="1" x14ac:dyDescent="0.25"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</row>
    <row r="280" spans="2:14" ht="14.25" customHeight="1" x14ac:dyDescent="0.25"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</row>
    <row r="281" spans="2:14" ht="14.25" customHeight="1" x14ac:dyDescent="0.25"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</row>
    <row r="282" spans="2:14" ht="14.25" customHeight="1" x14ac:dyDescent="0.25"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</row>
    <row r="283" spans="2:14" ht="14.25" customHeight="1" x14ac:dyDescent="0.25"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</row>
    <row r="284" spans="2:14" ht="14.25" customHeight="1" x14ac:dyDescent="0.25"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</row>
    <row r="285" spans="2:14" ht="14.25" customHeight="1" x14ac:dyDescent="0.25"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</row>
    <row r="286" spans="2:14" ht="14.25" customHeight="1" x14ac:dyDescent="0.25"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</row>
    <row r="287" spans="2:14" ht="14.25" customHeight="1" x14ac:dyDescent="0.25"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</row>
    <row r="288" spans="2:14" ht="14.25" customHeight="1" x14ac:dyDescent="0.25"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</row>
    <row r="289" spans="2:14" ht="14.25" customHeight="1" x14ac:dyDescent="0.25"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</row>
    <row r="290" spans="2:14" ht="14.25" customHeight="1" x14ac:dyDescent="0.25"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</row>
    <row r="291" spans="2:14" ht="14.25" customHeight="1" x14ac:dyDescent="0.25"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</row>
    <row r="292" spans="2:14" ht="14.25" customHeight="1" x14ac:dyDescent="0.25"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</row>
    <row r="293" spans="2:14" ht="14.25" customHeight="1" x14ac:dyDescent="0.25"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</row>
    <row r="294" spans="2:14" ht="14.25" customHeight="1" x14ac:dyDescent="0.25"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</row>
    <row r="295" spans="2:14" ht="14.25" customHeight="1" x14ac:dyDescent="0.25"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</row>
    <row r="296" spans="2:14" ht="14.25" customHeight="1" x14ac:dyDescent="0.25"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</row>
    <row r="297" spans="2:14" ht="14.25" customHeight="1" x14ac:dyDescent="0.25"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</row>
    <row r="298" spans="2:14" ht="14.25" customHeight="1" x14ac:dyDescent="0.25"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</row>
    <row r="299" spans="2:14" ht="14.25" customHeight="1" x14ac:dyDescent="0.25"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</row>
    <row r="300" spans="2:14" ht="14.25" customHeight="1" x14ac:dyDescent="0.25"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</row>
    <row r="301" spans="2:14" ht="14.25" customHeight="1" x14ac:dyDescent="0.25"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</row>
    <row r="302" spans="2:14" ht="14.25" customHeight="1" x14ac:dyDescent="0.25"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</row>
    <row r="303" spans="2:14" ht="14.25" customHeight="1" x14ac:dyDescent="0.25"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</row>
    <row r="304" spans="2:14" ht="14.25" customHeight="1" x14ac:dyDescent="0.25"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</row>
    <row r="305" spans="2:14" ht="14.25" customHeight="1" x14ac:dyDescent="0.25"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</row>
    <row r="306" spans="2:14" ht="14.25" customHeight="1" x14ac:dyDescent="0.25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</row>
    <row r="307" spans="2:14" ht="14.25" customHeight="1" x14ac:dyDescent="0.25"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</row>
    <row r="308" spans="2:14" ht="14.25" customHeight="1" x14ac:dyDescent="0.25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</row>
    <row r="309" spans="2:14" ht="14.25" customHeight="1" x14ac:dyDescent="0.25"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</row>
    <row r="310" spans="2:14" ht="14.25" customHeight="1" x14ac:dyDescent="0.25"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</row>
    <row r="311" spans="2:14" ht="14.25" customHeight="1" x14ac:dyDescent="0.25"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</row>
    <row r="312" spans="2:14" ht="14.25" customHeight="1" x14ac:dyDescent="0.25"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</row>
    <row r="313" spans="2:14" ht="14.25" customHeight="1" x14ac:dyDescent="0.25"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</row>
    <row r="314" spans="2:14" ht="14.25" customHeight="1" x14ac:dyDescent="0.25"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</row>
    <row r="315" spans="2:14" ht="14.25" customHeight="1" x14ac:dyDescent="0.25"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</row>
    <row r="316" spans="2:14" ht="14.25" customHeight="1" x14ac:dyDescent="0.25"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</row>
    <row r="317" spans="2:14" ht="14.25" customHeight="1" x14ac:dyDescent="0.25"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</row>
    <row r="318" spans="2:14" ht="14.25" customHeight="1" x14ac:dyDescent="0.25"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</row>
    <row r="319" spans="2:14" ht="14.25" customHeight="1" x14ac:dyDescent="0.25"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</row>
    <row r="320" spans="2:14" ht="14.25" customHeight="1" x14ac:dyDescent="0.25"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</row>
    <row r="321" spans="2:14" ht="14.25" customHeight="1" x14ac:dyDescent="0.25"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</row>
    <row r="322" spans="2:14" ht="14.25" customHeight="1" x14ac:dyDescent="0.25"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</row>
    <row r="323" spans="2:14" ht="14.25" customHeight="1" x14ac:dyDescent="0.25"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</row>
    <row r="324" spans="2:14" ht="14.25" customHeight="1" x14ac:dyDescent="0.25"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</row>
    <row r="325" spans="2:14" ht="14.25" customHeight="1" x14ac:dyDescent="0.25"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</row>
    <row r="326" spans="2:14" ht="14.25" customHeight="1" x14ac:dyDescent="0.25"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</row>
    <row r="327" spans="2:14" ht="14.25" customHeight="1" x14ac:dyDescent="0.25"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</row>
    <row r="328" spans="2:14" ht="14.25" customHeight="1" x14ac:dyDescent="0.25"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</row>
    <row r="329" spans="2:14" ht="14.25" customHeight="1" x14ac:dyDescent="0.25"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</row>
    <row r="330" spans="2:14" ht="14.25" customHeight="1" x14ac:dyDescent="0.25"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</row>
    <row r="331" spans="2:14" ht="14.25" customHeight="1" x14ac:dyDescent="0.25"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</row>
    <row r="332" spans="2:14" ht="14.25" customHeight="1" x14ac:dyDescent="0.25"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</row>
    <row r="333" spans="2:14" ht="14.25" customHeight="1" x14ac:dyDescent="0.25"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</row>
    <row r="334" spans="2:14" ht="14.25" customHeight="1" x14ac:dyDescent="0.25"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</row>
    <row r="335" spans="2:14" ht="14.25" customHeight="1" x14ac:dyDescent="0.25"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</row>
    <row r="336" spans="2:14" ht="14.25" customHeight="1" x14ac:dyDescent="0.25"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</row>
    <row r="337" spans="2:14" ht="14.25" customHeight="1" x14ac:dyDescent="0.25"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</row>
    <row r="338" spans="2:14" ht="14.25" customHeight="1" x14ac:dyDescent="0.25"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</row>
    <row r="339" spans="2:14" ht="14.25" customHeight="1" x14ac:dyDescent="0.25"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</row>
    <row r="340" spans="2:14" ht="14.25" customHeight="1" x14ac:dyDescent="0.25"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</row>
    <row r="341" spans="2:14" ht="14.25" customHeight="1" x14ac:dyDescent="0.25"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</row>
    <row r="342" spans="2:14" ht="14.25" customHeight="1" x14ac:dyDescent="0.25"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</row>
    <row r="343" spans="2:14" ht="14.25" customHeight="1" x14ac:dyDescent="0.25"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</row>
    <row r="344" spans="2:14" ht="14.25" customHeight="1" x14ac:dyDescent="0.25"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</row>
    <row r="345" spans="2:14" ht="14.25" customHeight="1" x14ac:dyDescent="0.25"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</row>
    <row r="346" spans="2:14" ht="14.25" customHeight="1" x14ac:dyDescent="0.25"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</row>
    <row r="347" spans="2:14" ht="14.25" customHeight="1" x14ac:dyDescent="0.25"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</row>
    <row r="348" spans="2:14" ht="14.25" customHeight="1" x14ac:dyDescent="0.25"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</row>
    <row r="349" spans="2:14" ht="14.25" customHeight="1" x14ac:dyDescent="0.25"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</row>
    <row r="350" spans="2:14" ht="14.25" customHeight="1" x14ac:dyDescent="0.25"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</row>
    <row r="351" spans="2:14" ht="14.25" customHeight="1" x14ac:dyDescent="0.25"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</row>
    <row r="352" spans="2:14" ht="14.25" customHeight="1" x14ac:dyDescent="0.25"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</row>
    <row r="353" spans="2:14" ht="14.25" customHeight="1" x14ac:dyDescent="0.25"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</row>
    <row r="354" spans="2:14" ht="14.25" customHeight="1" x14ac:dyDescent="0.25"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</row>
    <row r="355" spans="2:14" ht="14.25" customHeight="1" x14ac:dyDescent="0.25"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</row>
    <row r="356" spans="2:14" ht="14.25" customHeight="1" x14ac:dyDescent="0.25"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</row>
    <row r="357" spans="2:14" ht="14.25" customHeight="1" x14ac:dyDescent="0.25"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</row>
    <row r="358" spans="2:14" ht="14.25" customHeight="1" x14ac:dyDescent="0.25"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</row>
    <row r="359" spans="2:14" ht="14.25" customHeight="1" x14ac:dyDescent="0.25"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</row>
    <row r="360" spans="2:14" ht="14.25" customHeight="1" x14ac:dyDescent="0.25"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</row>
    <row r="361" spans="2:14" ht="14.25" customHeight="1" x14ac:dyDescent="0.25"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</row>
    <row r="362" spans="2:14" ht="14.25" customHeight="1" x14ac:dyDescent="0.25"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</row>
    <row r="363" spans="2:14" ht="14.25" customHeight="1" x14ac:dyDescent="0.25"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</row>
    <row r="364" spans="2:14" ht="14.25" customHeight="1" x14ac:dyDescent="0.25"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</row>
    <row r="365" spans="2:14" ht="14.25" customHeight="1" x14ac:dyDescent="0.25"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</row>
    <row r="366" spans="2:14" ht="14.25" customHeight="1" x14ac:dyDescent="0.25"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</row>
    <row r="367" spans="2:14" ht="14.25" customHeight="1" x14ac:dyDescent="0.25"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</row>
    <row r="368" spans="2:14" ht="14.25" customHeight="1" x14ac:dyDescent="0.25"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</row>
    <row r="369" spans="2:14" ht="14.25" customHeight="1" x14ac:dyDescent="0.25"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</row>
    <row r="370" spans="2:14" ht="14.25" customHeight="1" x14ac:dyDescent="0.25"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</row>
    <row r="371" spans="2:14" ht="14.25" customHeight="1" x14ac:dyDescent="0.25"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</row>
    <row r="372" spans="2:14" ht="14.25" customHeight="1" x14ac:dyDescent="0.25"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</row>
    <row r="373" spans="2:14" ht="14.25" customHeight="1" x14ac:dyDescent="0.25"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</row>
    <row r="374" spans="2:14" ht="14.25" customHeight="1" x14ac:dyDescent="0.25"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</row>
    <row r="375" spans="2:14" ht="14.25" customHeight="1" x14ac:dyDescent="0.25"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</row>
    <row r="376" spans="2:14" ht="14.25" customHeight="1" x14ac:dyDescent="0.25"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</row>
    <row r="377" spans="2:14" ht="14.25" customHeight="1" x14ac:dyDescent="0.25"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</row>
    <row r="378" spans="2:14" ht="14.25" customHeight="1" x14ac:dyDescent="0.25"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</row>
    <row r="379" spans="2:14" ht="14.25" customHeight="1" x14ac:dyDescent="0.25"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</row>
    <row r="380" spans="2:14" ht="14.25" customHeight="1" x14ac:dyDescent="0.25"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</row>
    <row r="381" spans="2:14" ht="14.25" customHeight="1" x14ac:dyDescent="0.25"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</row>
    <row r="382" spans="2:14" ht="14.25" customHeight="1" x14ac:dyDescent="0.25"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</row>
    <row r="383" spans="2:14" ht="14.25" customHeight="1" x14ac:dyDescent="0.25"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</row>
    <row r="384" spans="2:14" ht="14.25" customHeight="1" x14ac:dyDescent="0.25"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</row>
    <row r="385" spans="2:14" ht="14.25" customHeight="1" x14ac:dyDescent="0.25"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</row>
    <row r="386" spans="2:14" ht="14.25" customHeight="1" x14ac:dyDescent="0.25"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</row>
    <row r="387" spans="2:14" ht="14.25" customHeight="1" x14ac:dyDescent="0.25"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</row>
    <row r="388" spans="2:14" ht="14.25" customHeight="1" x14ac:dyDescent="0.25"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</row>
    <row r="389" spans="2:14" ht="14.25" customHeight="1" x14ac:dyDescent="0.25"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</row>
    <row r="390" spans="2:14" ht="14.25" customHeight="1" x14ac:dyDescent="0.25"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</row>
    <row r="391" spans="2:14" ht="14.25" customHeight="1" x14ac:dyDescent="0.25"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</row>
    <row r="392" spans="2:14" ht="14.25" customHeight="1" x14ac:dyDescent="0.25"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</row>
    <row r="393" spans="2:14" ht="14.25" customHeight="1" x14ac:dyDescent="0.25"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</row>
    <row r="394" spans="2:14" ht="14.25" customHeight="1" x14ac:dyDescent="0.25"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</row>
    <row r="395" spans="2:14" ht="14.25" customHeight="1" x14ac:dyDescent="0.25"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</row>
    <row r="396" spans="2:14" ht="14.25" customHeight="1" x14ac:dyDescent="0.25"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</row>
    <row r="397" spans="2:14" ht="14.25" customHeight="1" x14ac:dyDescent="0.25"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</row>
    <row r="398" spans="2:14" ht="14.25" customHeight="1" x14ac:dyDescent="0.25"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</row>
    <row r="399" spans="2:14" ht="14.25" customHeight="1" x14ac:dyDescent="0.25"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</row>
    <row r="400" spans="2:14" ht="14.25" customHeight="1" x14ac:dyDescent="0.25"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</row>
    <row r="401" spans="2:14" ht="14.25" customHeight="1" x14ac:dyDescent="0.25"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</row>
    <row r="402" spans="2:14" ht="14.25" customHeight="1" x14ac:dyDescent="0.25"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</row>
    <row r="403" spans="2:14" ht="14.25" customHeight="1" x14ac:dyDescent="0.25"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</row>
    <row r="404" spans="2:14" ht="14.25" customHeight="1" x14ac:dyDescent="0.25"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</row>
    <row r="405" spans="2:14" ht="14.25" customHeight="1" x14ac:dyDescent="0.25"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</row>
    <row r="406" spans="2:14" ht="14.25" customHeight="1" x14ac:dyDescent="0.25"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</row>
    <row r="407" spans="2:14" ht="14.25" customHeight="1" x14ac:dyDescent="0.25"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</row>
    <row r="408" spans="2:14" ht="14.25" customHeight="1" x14ac:dyDescent="0.25"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</row>
    <row r="409" spans="2:14" ht="14.25" customHeight="1" x14ac:dyDescent="0.25"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</row>
    <row r="410" spans="2:14" ht="14.25" customHeight="1" x14ac:dyDescent="0.25"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</row>
    <row r="411" spans="2:14" ht="14.25" customHeight="1" x14ac:dyDescent="0.25"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</row>
    <row r="412" spans="2:14" ht="14.25" customHeight="1" x14ac:dyDescent="0.25"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</row>
    <row r="413" spans="2:14" ht="14.25" customHeight="1" x14ac:dyDescent="0.25"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</row>
    <row r="414" spans="2:14" ht="14.25" customHeight="1" x14ac:dyDescent="0.25"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</row>
    <row r="415" spans="2:14" ht="14.25" customHeight="1" x14ac:dyDescent="0.25"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</row>
    <row r="416" spans="2:14" ht="14.25" customHeight="1" x14ac:dyDescent="0.25"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</row>
    <row r="417" spans="2:14" ht="14.25" customHeight="1" x14ac:dyDescent="0.25"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</row>
    <row r="418" spans="2:14" ht="14.25" customHeight="1" x14ac:dyDescent="0.25"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</row>
    <row r="419" spans="2:14" ht="14.25" customHeight="1" x14ac:dyDescent="0.25"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</row>
    <row r="420" spans="2:14" ht="14.25" customHeight="1" x14ac:dyDescent="0.25"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</row>
    <row r="421" spans="2:14" ht="14.25" customHeight="1" x14ac:dyDescent="0.25"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</row>
    <row r="422" spans="2:14" ht="14.25" customHeight="1" x14ac:dyDescent="0.25"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</row>
    <row r="423" spans="2:14" ht="14.25" customHeight="1" x14ac:dyDescent="0.25"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</row>
    <row r="424" spans="2:14" ht="14.25" customHeight="1" x14ac:dyDescent="0.25"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</row>
    <row r="425" spans="2:14" ht="14.25" customHeight="1" x14ac:dyDescent="0.25"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</row>
    <row r="426" spans="2:14" ht="14.25" customHeight="1" x14ac:dyDescent="0.25"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</row>
    <row r="427" spans="2:14" ht="14.25" customHeight="1" x14ac:dyDescent="0.25"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</row>
    <row r="428" spans="2:14" ht="14.25" customHeight="1" x14ac:dyDescent="0.25"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</row>
    <row r="429" spans="2:14" ht="14.25" customHeight="1" x14ac:dyDescent="0.25"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</row>
    <row r="430" spans="2:14" ht="14.25" customHeight="1" x14ac:dyDescent="0.25"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</row>
    <row r="431" spans="2:14" ht="14.25" customHeight="1" x14ac:dyDescent="0.25"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</row>
    <row r="432" spans="2:14" ht="14.25" customHeight="1" x14ac:dyDescent="0.25"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</row>
    <row r="433" spans="2:14" ht="14.25" customHeight="1" x14ac:dyDescent="0.25"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</row>
    <row r="434" spans="2:14" ht="14.25" customHeight="1" x14ac:dyDescent="0.25"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</row>
    <row r="435" spans="2:14" ht="14.25" customHeight="1" x14ac:dyDescent="0.25"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</row>
    <row r="436" spans="2:14" ht="14.25" customHeight="1" x14ac:dyDescent="0.25"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</row>
    <row r="437" spans="2:14" ht="14.25" customHeight="1" x14ac:dyDescent="0.25"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</row>
    <row r="438" spans="2:14" ht="14.25" customHeight="1" x14ac:dyDescent="0.25"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</row>
    <row r="439" spans="2:14" ht="14.25" customHeight="1" x14ac:dyDescent="0.25"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</row>
    <row r="440" spans="2:14" ht="14.25" customHeight="1" x14ac:dyDescent="0.25"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</row>
    <row r="441" spans="2:14" ht="14.25" customHeight="1" x14ac:dyDescent="0.25"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</row>
    <row r="442" spans="2:14" ht="14.25" customHeight="1" x14ac:dyDescent="0.25"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</row>
    <row r="443" spans="2:14" ht="14.25" customHeight="1" x14ac:dyDescent="0.25"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</row>
    <row r="444" spans="2:14" ht="14.25" customHeight="1" x14ac:dyDescent="0.25"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</row>
    <row r="445" spans="2:14" ht="14.25" customHeight="1" x14ac:dyDescent="0.25"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</row>
    <row r="446" spans="2:14" ht="14.25" customHeight="1" x14ac:dyDescent="0.25"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</row>
    <row r="447" spans="2:14" ht="14.25" customHeight="1" x14ac:dyDescent="0.25"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</row>
    <row r="448" spans="2:14" ht="14.25" customHeight="1" x14ac:dyDescent="0.25"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</row>
    <row r="449" spans="2:14" ht="14.25" customHeight="1" x14ac:dyDescent="0.25"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</row>
    <row r="450" spans="2:14" ht="14.25" customHeight="1" x14ac:dyDescent="0.25"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</row>
    <row r="451" spans="2:14" ht="14.25" customHeight="1" x14ac:dyDescent="0.25"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</row>
    <row r="452" spans="2:14" ht="14.25" customHeight="1" x14ac:dyDescent="0.25"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</row>
    <row r="453" spans="2:14" ht="14.25" customHeight="1" x14ac:dyDescent="0.25"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</row>
    <row r="454" spans="2:14" ht="14.25" customHeight="1" x14ac:dyDescent="0.25"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</row>
    <row r="455" spans="2:14" ht="14.25" customHeight="1" x14ac:dyDescent="0.25"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</row>
    <row r="456" spans="2:14" ht="14.25" customHeight="1" x14ac:dyDescent="0.25"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</row>
    <row r="457" spans="2:14" ht="14.25" customHeight="1" x14ac:dyDescent="0.25"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</row>
    <row r="458" spans="2:14" ht="14.25" customHeight="1" x14ac:dyDescent="0.25"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</row>
    <row r="459" spans="2:14" ht="14.25" customHeight="1" x14ac:dyDescent="0.25"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</row>
    <row r="460" spans="2:14" ht="14.25" customHeight="1" x14ac:dyDescent="0.25"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</row>
    <row r="461" spans="2:14" ht="14.25" customHeight="1" x14ac:dyDescent="0.25"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</row>
    <row r="462" spans="2:14" ht="14.25" customHeight="1" x14ac:dyDescent="0.25"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</row>
    <row r="463" spans="2:14" ht="14.25" customHeight="1" x14ac:dyDescent="0.25"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</row>
    <row r="464" spans="2:14" ht="14.25" customHeight="1" x14ac:dyDescent="0.25"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</row>
    <row r="465" spans="2:14" ht="14.25" customHeight="1" x14ac:dyDescent="0.25"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</row>
    <row r="466" spans="2:14" ht="14.25" customHeight="1" x14ac:dyDescent="0.25"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</row>
    <row r="467" spans="2:14" ht="14.25" customHeight="1" x14ac:dyDescent="0.25"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</row>
    <row r="468" spans="2:14" ht="14.25" customHeight="1" x14ac:dyDescent="0.25"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</row>
    <row r="469" spans="2:14" ht="14.25" customHeight="1" x14ac:dyDescent="0.25"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</row>
    <row r="470" spans="2:14" ht="14.25" customHeight="1" x14ac:dyDescent="0.25"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</row>
    <row r="471" spans="2:14" ht="14.25" customHeight="1" x14ac:dyDescent="0.25"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</row>
    <row r="472" spans="2:14" ht="14.25" customHeight="1" x14ac:dyDescent="0.25"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</row>
    <row r="473" spans="2:14" ht="14.25" customHeight="1" x14ac:dyDescent="0.25"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</row>
    <row r="474" spans="2:14" ht="14.25" customHeight="1" x14ac:dyDescent="0.25"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</row>
    <row r="475" spans="2:14" ht="14.25" customHeight="1" x14ac:dyDescent="0.25"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</row>
    <row r="476" spans="2:14" ht="14.25" customHeight="1" x14ac:dyDescent="0.25"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</row>
    <row r="477" spans="2:14" ht="14.25" customHeight="1" x14ac:dyDescent="0.25"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</row>
    <row r="478" spans="2:14" ht="14.25" customHeight="1" x14ac:dyDescent="0.25"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</row>
    <row r="479" spans="2:14" ht="14.25" customHeight="1" x14ac:dyDescent="0.25"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</row>
    <row r="480" spans="2:14" ht="14.25" customHeight="1" x14ac:dyDescent="0.25"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</row>
    <row r="481" spans="2:14" ht="14.25" customHeight="1" x14ac:dyDescent="0.25"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</row>
    <row r="482" spans="2:14" ht="14.25" customHeight="1" x14ac:dyDescent="0.25"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</row>
    <row r="483" spans="2:14" ht="14.25" customHeight="1" x14ac:dyDescent="0.25"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</row>
    <row r="484" spans="2:14" ht="14.25" customHeight="1" x14ac:dyDescent="0.25"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</row>
    <row r="485" spans="2:14" ht="14.25" customHeight="1" x14ac:dyDescent="0.25"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</row>
    <row r="486" spans="2:14" ht="14.25" customHeight="1" x14ac:dyDescent="0.25"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</row>
    <row r="487" spans="2:14" ht="14.25" customHeight="1" x14ac:dyDescent="0.25"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</row>
    <row r="488" spans="2:14" ht="14.25" customHeight="1" x14ac:dyDescent="0.25"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</row>
    <row r="489" spans="2:14" ht="14.25" customHeight="1" x14ac:dyDescent="0.25"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</row>
    <row r="490" spans="2:14" ht="14.25" customHeight="1" x14ac:dyDescent="0.25"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</row>
    <row r="491" spans="2:14" ht="14.25" customHeight="1" x14ac:dyDescent="0.25"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</row>
    <row r="492" spans="2:14" ht="14.25" customHeight="1" x14ac:dyDescent="0.25"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</row>
    <row r="493" spans="2:14" ht="14.25" customHeight="1" x14ac:dyDescent="0.25"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</row>
    <row r="494" spans="2:14" ht="14.25" customHeight="1" x14ac:dyDescent="0.25"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</row>
    <row r="495" spans="2:14" ht="14.25" customHeight="1" x14ac:dyDescent="0.25"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</row>
    <row r="496" spans="2:14" ht="14.25" customHeight="1" x14ac:dyDescent="0.25"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</row>
    <row r="497" spans="2:14" ht="14.25" customHeight="1" x14ac:dyDescent="0.25"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</row>
    <row r="498" spans="2:14" ht="14.25" customHeight="1" x14ac:dyDescent="0.25"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</row>
    <row r="499" spans="2:14" ht="14.25" customHeight="1" x14ac:dyDescent="0.25"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</row>
    <row r="500" spans="2:14" ht="14.25" customHeight="1" x14ac:dyDescent="0.25"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</row>
    <row r="501" spans="2:14" ht="14.25" customHeight="1" x14ac:dyDescent="0.25"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</row>
    <row r="502" spans="2:14" ht="14.25" customHeight="1" x14ac:dyDescent="0.25"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</row>
    <row r="503" spans="2:14" ht="14.25" customHeight="1" x14ac:dyDescent="0.25"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</row>
    <row r="504" spans="2:14" ht="14.25" customHeight="1" x14ac:dyDescent="0.25"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</row>
    <row r="505" spans="2:14" ht="14.25" customHeight="1" x14ac:dyDescent="0.25"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</row>
    <row r="506" spans="2:14" ht="14.25" customHeight="1" x14ac:dyDescent="0.25"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</row>
    <row r="507" spans="2:14" ht="14.25" customHeight="1" x14ac:dyDescent="0.25"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</row>
    <row r="508" spans="2:14" ht="14.25" customHeight="1" x14ac:dyDescent="0.25"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</row>
    <row r="509" spans="2:14" ht="14.25" customHeight="1" x14ac:dyDescent="0.25"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</row>
    <row r="510" spans="2:14" ht="14.25" customHeight="1" x14ac:dyDescent="0.25"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</row>
    <row r="511" spans="2:14" ht="14.25" customHeight="1" x14ac:dyDescent="0.25"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</row>
    <row r="512" spans="2:14" ht="14.25" customHeight="1" x14ac:dyDescent="0.25"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</row>
    <row r="513" spans="2:14" ht="14.25" customHeight="1" x14ac:dyDescent="0.25"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</row>
    <row r="514" spans="2:14" ht="14.25" customHeight="1" x14ac:dyDescent="0.25"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</row>
    <row r="515" spans="2:14" ht="14.25" customHeight="1" x14ac:dyDescent="0.25"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</row>
    <row r="516" spans="2:14" ht="14.25" customHeight="1" x14ac:dyDescent="0.25"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</row>
    <row r="517" spans="2:14" ht="14.25" customHeight="1" x14ac:dyDescent="0.25"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</row>
    <row r="518" spans="2:14" ht="14.25" customHeight="1" x14ac:dyDescent="0.25"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</row>
    <row r="519" spans="2:14" ht="14.25" customHeight="1" x14ac:dyDescent="0.25"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</row>
    <row r="520" spans="2:14" ht="14.25" customHeight="1" x14ac:dyDescent="0.25"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</row>
    <row r="521" spans="2:14" ht="14.25" customHeight="1" x14ac:dyDescent="0.25"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</row>
    <row r="522" spans="2:14" ht="14.25" customHeight="1" x14ac:dyDescent="0.25"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</row>
    <row r="523" spans="2:14" ht="14.25" customHeight="1" x14ac:dyDescent="0.25"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</row>
    <row r="524" spans="2:14" ht="14.25" customHeight="1" x14ac:dyDescent="0.25"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</row>
    <row r="525" spans="2:14" ht="14.25" customHeight="1" x14ac:dyDescent="0.25"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</row>
    <row r="526" spans="2:14" ht="14.25" customHeight="1" x14ac:dyDescent="0.25"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</row>
    <row r="527" spans="2:14" ht="14.25" customHeight="1" x14ac:dyDescent="0.25"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</row>
    <row r="528" spans="2:14" ht="14.25" customHeight="1" x14ac:dyDescent="0.25"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</row>
    <row r="529" spans="2:14" ht="14.25" customHeight="1" x14ac:dyDescent="0.25"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</row>
    <row r="530" spans="2:14" ht="14.25" customHeight="1" x14ac:dyDescent="0.25"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</row>
    <row r="531" spans="2:14" ht="14.25" customHeight="1" x14ac:dyDescent="0.25"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</row>
    <row r="532" spans="2:14" ht="14.25" customHeight="1" x14ac:dyDescent="0.25"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</row>
    <row r="533" spans="2:14" ht="14.25" customHeight="1" x14ac:dyDescent="0.25"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</row>
    <row r="534" spans="2:14" ht="14.25" customHeight="1" x14ac:dyDescent="0.25"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</row>
    <row r="535" spans="2:14" ht="14.25" customHeight="1" x14ac:dyDescent="0.25"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</row>
    <row r="536" spans="2:14" ht="14.25" customHeight="1" x14ac:dyDescent="0.25"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</row>
    <row r="537" spans="2:14" ht="14.25" customHeight="1" x14ac:dyDescent="0.25"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</row>
    <row r="538" spans="2:14" ht="14.25" customHeight="1" x14ac:dyDescent="0.25"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</row>
    <row r="539" spans="2:14" ht="14.25" customHeight="1" x14ac:dyDescent="0.25"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</row>
    <row r="540" spans="2:14" ht="14.25" customHeight="1" x14ac:dyDescent="0.25"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</row>
    <row r="541" spans="2:14" ht="14.25" customHeight="1" x14ac:dyDescent="0.25"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</row>
    <row r="542" spans="2:14" ht="14.25" customHeight="1" x14ac:dyDescent="0.25"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</row>
    <row r="543" spans="2:14" ht="14.25" customHeight="1" x14ac:dyDescent="0.25"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</row>
    <row r="544" spans="2:14" ht="14.25" customHeight="1" x14ac:dyDescent="0.25"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</row>
    <row r="545" spans="2:14" ht="14.25" customHeight="1" x14ac:dyDescent="0.25"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</row>
    <row r="546" spans="2:14" ht="14.25" customHeight="1" x14ac:dyDescent="0.25"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</row>
    <row r="547" spans="2:14" ht="14.25" customHeight="1" x14ac:dyDescent="0.25"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</row>
    <row r="548" spans="2:14" ht="14.25" customHeight="1" x14ac:dyDescent="0.25"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</row>
    <row r="549" spans="2:14" ht="14.25" customHeight="1" x14ac:dyDescent="0.25"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</row>
    <row r="550" spans="2:14" ht="14.25" customHeight="1" x14ac:dyDescent="0.25"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</row>
    <row r="551" spans="2:14" ht="14.25" customHeight="1" x14ac:dyDescent="0.25"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</row>
    <row r="552" spans="2:14" ht="14.25" customHeight="1" x14ac:dyDescent="0.25"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</row>
    <row r="553" spans="2:14" ht="14.25" customHeight="1" x14ac:dyDescent="0.25"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</row>
    <row r="554" spans="2:14" ht="14.25" customHeight="1" x14ac:dyDescent="0.25"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</row>
    <row r="555" spans="2:14" ht="14.25" customHeight="1" x14ac:dyDescent="0.25"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</row>
    <row r="556" spans="2:14" ht="14.25" customHeight="1" x14ac:dyDescent="0.25"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</row>
    <row r="557" spans="2:14" ht="14.25" customHeight="1" x14ac:dyDescent="0.25"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</row>
    <row r="558" spans="2:14" ht="14.25" customHeight="1" x14ac:dyDescent="0.25"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</row>
    <row r="559" spans="2:14" ht="14.25" customHeight="1" x14ac:dyDescent="0.25"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</row>
    <row r="560" spans="2:14" ht="14.25" customHeight="1" x14ac:dyDescent="0.25"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</row>
    <row r="561" spans="2:14" ht="14.25" customHeight="1" x14ac:dyDescent="0.25"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</row>
    <row r="562" spans="2:14" ht="14.25" customHeight="1" x14ac:dyDescent="0.25"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</row>
    <row r="563" spans="2:14" ht="14.25" customHeight="1" x14ac:dyDescent="0.25"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</row>
    <row r="564" spans="2:14" ht="14.25" customHeight="1" x14ac:dyDescent="0.25"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</row>
    <row r="565" spans="2:14" ht="14.25" customHeight="1" x14ac:dyDescent="0.25"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</row>
    <row r="566" spans="2:14" ht="14.25" customHeight="1" x14ac:dyDescent="0.25"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</row>
    <row r="567" spans="2:14" ht="14.25" customHeight="1" x14ac:dyDescent="0.25"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</row>
    <row r="568" spans="2:14" ht="14.25" customHeight="1" x14ac:dyDescent="0.25"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</row>
    <row r="569" spans="2:14" ht="14.25" customHeight="1" x14ac:dyDescent="0.25"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</row>
    <row r="570" spans="2:14" ht="14.25" customHeight="1" x14ac:dyDescent="0.25"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</row>
    <row r="571" spans="2:14" ht="14.25" customHeight="1" x14ac:dyDescent="0.25"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</row>
    <row r="572" spans="2:14" ht="14.25" customHeight="1" x14ac:dyDescent="0.25"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</row>
    <row r="573" spans="2:14" ht="14.25" customHeight="1" x14ac:dyDescent="0.25"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</row>
    <row r="574" spans="2:14" ht="14.25" customHeight="1" x14ac:dyDescent="0.25"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</row>
    <row r="575" spans="2:14" ht="14.25" customHeight="1" x14ac:dyDescent="0.25"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</row>
    <row r="576" spans="2:14" ht="14.25" customHeight="1" x14ac:dyDescent="0.25"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</row>
    <row r="577" spans="2:14" ht="14.25" customHeight="1" x14ac:dyDescent="0.25"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</row>
    <row r="578" spans="2:14" ht="14.25" customHeight="1" x14ac:dyDescent="0.25"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</row>
    <row r="579" spans="2:14" ht="14.25" customHeight="1" x14ac:dyDescent="0.25"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</row>
    <row r="580" spans="2:14" ht="14.25" customHeight="1" x14ac:dyDescent="0.25"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</row>
    <row r="581" spans="2:14" ht="14.25" customHeight="1" x14ac:dyDescent="0.25"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</row>
    <row r="582" spans="2:14" ht="14.25" customHeight="1" x14ac:dyDescent="0.25"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</row>
    <row r="583" spans="2:14" ht="14.25" customHeight="1" x14ac:dyDescent="0.25"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</row>
    <row r="584" spans="2:14" ht="14.25" customHeight="1" x14ac:dyDescent="0.25"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</row>
    <row r="585" spans="2:14" ht="14.25" customHeight="1" x14ac:dyDescent="0.25"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</row>
    <row r="586" spans="2:14" ht="14.25" customHeight="1" x14ac:dyDescent="0.25"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</row>
    <row r="587" spans="2:14" ht="14.25" customHeight="1" x14ac:dyDescent="0.25"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</row>
    <row r="588" spans="2:14" ht="14.25" customHeight="1" x14ac:dyDescent="0.25"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</row>
    <row r="589" spans="2:14" ht="14.25" customHeight="1" x14ac:dyDescent="0.25"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</row>
    <row r="590" spans="2:14" ht="14.25" customHeight="1" x14ac:dyDescent="0.25"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</row>
    <row r="591" spans="2:14" ht="14.25" customHeight="1" x14ac:dyDescent="0.25"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</row>
    <row r="592" spans="2:14" ht="14.25" customHeight="1" x14ac:dyDescent="0.25"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</row>
    <row r="593" spans="2:14" ht="14.25" customHeight="1" x14ac:dyDescent="0.25"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</row>
    <row r="594" spans="2:14" ht="14.25" customHeight="1" x14ac:dyDescent="0.25"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</row>
    <row r="595" spans="2:14" ht="14.25" customHeight="1" x14ac:dyDescent="0.25"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</row>
    <row r="596" spans="2:14" ht="14.25" customHeight="1" x14ac:dyDescent="0.25"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</row>
    <row r="597" spans="2:14" ht="14.25" customHeight="1" x14ac:dyDescent="0.25"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</row>
    <row r="598" spans="2:14" ht="14.25" customHeight="1" x14ac:dyDescent="0.25"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</row>
    <row r="599" spans="2:14" ht="14.25" customHeight="1" x14ac:dyDescent="0.25"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</row>
    <row r="600" spans="2:14" ht="14.25" customHeight="1" x14ac:dyDescent="0.25"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</row>
    <row r="601" spans="2:14" ht="14.25" customHeight="1" x14ac:dyDescent="0.25"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</row>
    <row r="602" spans="2:14" ht="14.25" customHeight="1" x14ac:dyDescent="0.25"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</row>
    <row r="603" spans="2:14" ht="14.25" customHeight="1" x14ac:dyDescent="0.25"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</row>
    <row r="604" spans="2:14" ht="14.25" customHeight="1" x14ac:dyDescent="0.25"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</row>
    <row r="605" spans="2:14" ht="14.25" customHeight="1" x14ac:dyDescent="0.25"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</row>
    <row r="606" spans="2:14" ht="14.25" customHeight="1" x14ac:dyDescent="0.25"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</row>
    <row r="607" spans="2:14" ht="14.25" customHeight="1" x14ac:dyDescent="0.25"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</row>
    <row r="608" spans="2:14" ht="14.25" customHeight="1" x14ac:dyDescent="0.25"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</row>
    <row r="609" spans="2:14" ht="14.25" customHeight="1" x14ac:dyDescent="0.25"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</row>
    <row r="610" spans="2:14" ht="14.25" customHeight="1" x14ac:dyDescent="0.25"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</row>
    <row r="611" spans="2:14" ht="14.25" customHeight="1" x14ac:dyDescent="0.25"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</row>
    <row r="612" spans="2:14" ht="14.25" customHeight="1" x14ac:dyDescent="0.25"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</row>
    <row r="613" spans="2:14" ht="14.25" customHeight="1" x14ac:dyDescent="0.25"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</row>
    <row r="614" spans="2:14" ht="14.25" customHeight="1" x14ac:dyDescent="0.25"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</row>
    <row r="615" spans="2:14" ht="14.25" customHeight="1" x14ac:dyDescent="0.25"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</row>
    <row r="616" spans="2:14" ht="14.25" customHeight="1" x14ac:dyDescent="0.25"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</row>
    <row r="617" spans="2:14" ht="14.25" customHeight="1" x14ac:dyDescent="0.25"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</row>
    <row r="618" spans="2:14" ht="14.25" customHeight="1" x14ac:dyDescent="0.25"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</row>
    <row r="619" spans="2:14" ht="14.25" customHeight="1" x14ac:dyDescent="0.25"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</row>
    <row r="620" spans="2:14" ht="14.25" customHeight="1" x14ac:dyDescent="0.25"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</row>
    <row r="621" spans="2:14" ht="14.25" customHeight="1" x14ac:dyDescent="0.25"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</row>
    <row r="622" spans="2:14" ht="14.25" customHeight="1" x14ac:dyDescent="0.25"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</row>
    <row r="623" spans="2:14" ht="14.25" customHeight="1" x14ac:dyDescent="0.25"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</row>
    <row r="624" spans="2:14" ht="14.25" customHeight="1" x14ac:dyDescent="0.25"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</row>
    <row r="625" spans="2:14" ht="14.25" customHeight="1" x14ac:dyDescent="0.25"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</row>
    <row r="626" spans="2:14" ht="14.25" customHeight="1" x14ac:dyDescent="0.25"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</row>
    <row r="627" spans="2:14" ht="14.25" customHeight="1" x14ac:dyDescent="0.25"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</row>
    <row r="628" spans="2:14" ht="14.25" customHeight="1" x14ac:dyDescent="0.25"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</row>
    <row r="629" spans="2:14" ht="14.25" customHeight="1" x14ac:dyDescent="0.25"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</row>
    <row r="630" spans="2:14" ht="14.25" customHeight="1" x14ac:dyDescent="0.25"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</row>
    <row r="631" spans="2:14" ht="14.25" customHeight="1" x14ac:dyDescent="0.25"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</row>
    <row r="632" spans="2:14" ht="14.25" customHeight="1" x14ac:dyDescent="0.25"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</row>
    <row r="633" spans="2:14" ht="14.25" customHeight="1" x14ac:dyDescent="0.25"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</row>
    <row r="634" spans="2:14" ht="14.25" customHeight="1" x14ac:dyDescent="0.25"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</row>
    <row r="635" spans="2:14" ht="14.25" customHeight="1" x14ac:dyDescent="0.25"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</row>
    <row r="636" spans="2:14" ht="14.25" customHeight="1" x14ac:dyDescent="0.25"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</row>
    <row r="637" spans="2:14" ht="14.25" customHeight="1" x14ac:dyDescent="0.25"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</row>
    <row r="638" spans="2:14" ht="14.25" customHeight="1" x14ac:dyDescent="0.25"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</row>
    <row r="639" spans="2:14" ht="14.25" customHeight="1" x14ac:dyDescent="0.25"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</row>
    <row r="640" spans="2:14" ht="14.25" customHeight="1" x14ac:dyDescent="0.25"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</row>
    <row r="641" spans="2:14" ht="14.25" customHeight="1" x14ac:dyDescent="0.25"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</row>
    <row r="642" spans="2:14" ht="14.25" customHeight="1" x14ac:dyDescent="0.25"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</row>
    <row r="643" spans="2:14" ht="14.25" customHeight="1" x14ac:dyDescent="0.25"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</row>
    <row r="644" spans="2:14" ht="14.25" customHeight="1" x14ac:dyDescent="0.25"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</row>
    <row r="645" spans="2:14" ht="14.25" customHeight="1" x14ac:dyDescent="0.25"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</row>
    <row r="646" spans="2:14" ht="14.25" customHeight="1" x14ac:dyDescent="0.25"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</row>
    <row r="647" spans="2:14" ht="14.25" customHeight="1" x14ac:dyDescent="0.25"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</row>
    <row r="648" spans="2:14" ht="14.25" customHeight="1" x14ac:dyDescent="0.25"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</row>
    <row r="649" spans="2:14" ht="14.25" customHeight="1" x14ac:dyDescent="0.25"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</row>
    <row r="650" spans="2:14" ht="14.25" customHeight="1" x14ac:dyDescent="0.25"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</row>
    <row r="651" spans="2:14" ht="14.25" customHeight="1" x14ac:dyDescent="0.25"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</row>
    <row r="652" spans="2:14" ht="14.25" customHeight="1" x14ac:dyDescent="0.25"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</row>
    <row r="653" spans="2:14" ht="14.25" customHeight="1" x14ac:dyDescent="0.25"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</row>
    <row r="654" spans="2:14" ht="14.25" customHeight="1" x14ac:dyDescent="0.25"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</row>
    <row r="655" spans="2:14" ht="14.25" customHeight="1" x14ac:dyDescent="0.25"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</row>
    <row r="656" spans="2:14" ht="14.25" customHeight="1" x14ac:dyDescent="0.25"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</row>
    <row r="657" spans="2:14" ht="14.25" customHeight="1" x14ac:dyDescent="0.25"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</row>
    <row r="658" spans="2:14" ht="14.25" customHeight="1" x14ac:dyDescent="0.25"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</row>
    <row r="659" spans="2:14" ht="14.25" customHeight="1" x14ac:dyDescent="0.25"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</row>
    <row r="660" spans="2:14" ht="14.25" customHeight="1" x14ac:dyDescent="0.25"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</row>
    <row r="661" spans="2:14" ht="14.25" customHeight="1" x14ac:dyDescent="0.25"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</row>
    <row r="662" spans="2:14" ht="14.25" customHeight="1" x14ac:dyDescent="0.25"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</row>
    <row r="663" spans="2:14" ht="14.25" customHeight="1" x14ac:dyDescent="0.25"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</row>
    <row r="664" spans="2:14" ht="14.25" customHeight="1" x14ac:dyDescent="0.25"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</row>
    <row r="665" spans="2:14" ht="14.25" customHeight="1" x14ac:dyDescent="0.25"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</row>
    <row r="666" spans="2:14" ht="14.25" customHeight="1" x14ac:dyDescent="0.25"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</row>
    <row r="667" spans="2:14" ht="14.25" customHeight="1" x14ac:dyDescent="0.25"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</row>
    <row r="668" spans="2:14" ht="14.25" customHeight="1" x14ac:dyDescent="0.25"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</row>
    <row r="669" spans="2:14" ht="14.25" customHeight="1" x14ac:dyDescent="0.25"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</row>
    <row r="670" spans="2:14" ht="14.25" customHeight="1" x14ac:dyDescent="0.25"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</row>
    <row r="671" spans="2:14" ht="14.25" customHeight="1" x14ac:dyDescent="0.25"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</row>
    <row r="672" spans="2:14" ht="14.25" customHeight="1" x14ac:dyDescent="0.25"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</row>
    <row r="673" spans="2:14" ht="14.25" customHeight="1" x14ac:dyDescent="0.25"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</row>
    <row r="674" spans="2:14" ht="14.25" customHeight="1" x14ac:dyDescent="0.25"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</row>
    <row r="675" spans="2:14" ht="14.25" customHeight="1" x14ac:dyDescent="0.25"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</row>
    <row r="676" spans="2:14" ht="14.25" customHeight="1" x14ac:dyDescent="0.25"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</row>
    <row r="677" spans="2:14" ht="14.25" customHeight="1" x14ac:dyDescent="0.25"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</row>
    <row r="678" spans="2:14" ht="14.25" customHeight="1" x14ac:dyDescent="0.25"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</row>
    <row r="679" spans="2:14" ht="14.25" customHeight="1" x14ac:dyDescent="0.25"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</row>
    <row r="680" spans="2:14" ht="14.25" customHeight="1" x14ac:dyDescent="0.25"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</row>
    <row r="681" spans="2:14" ht="14.25" customHeight="1" x14ac:dyDescent="0.25"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</row>
    <row r="682" spans="2:14" ht="14.25" customHeight="1" x14ac:dyDescent="0.25"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</row>
    <row r="683" spans="2:14" ht="14.25" customHeight="1" x14ac:dyDescent="0.25"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</row>
    <row r="684" spans="2:14" ht="14.25" customHeight="1" x14ac:dyDescent="0.25"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</row>
    <row r="685" spans="2:14" ht="14.25" customHeight="1" x14ac:dyDescent="0.25"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</row>
    <row r="686" spans="2:14" ht="14.25" customHeight="1" x14ac:dyDescent="0.25"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</row>
    <row r="687" spans="2:14" ht="14.25" customHeight="1" x14ac:dyDescent="0.25"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</row>
    <row r="688" spans="2:14" ht="14.25" customHeight="1" x14ac:dyDescent="0.25"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</row>
    <row r="689" spans="2:14" ht="14.25" customHeight="1" x14ac:dyDescent="0.25"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</row>
    <row r="690" spans="2:14" ht="14.25" customHeight="1" x14ac:dyDescent="0.25"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</row>
    <row r="691" spans="2:14" ht="14.25" customHeight="1" x14ac:dyDescent="0.25"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</row>
    <row r="692" spans="2:14" ht="14.25" customHeight="1" x14ac:dyDescent="0.25"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</row>
    <row r="693" spans="2:14" ht="14.25" customHeight="1" x14ac:dyDescent="0.25"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</row>
    <row r="694" spans="2:14" ht="14.25" customHeight="1" x14ac:dyDescent="0.25"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</row>
    <row r="695" spans="2:14" ht="14.25" customHeight="1" x14ac:dyDescent="0.25"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</row>
    <row r="696" spans="2:14" ht="14.25" customHeight="1" x14ac:dyDescent="0.25"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</row>
    <row r="697" spans="2:14" ht="14.25" customHeight="1" x14ac:dyDescent="0.25"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</row>
    <row r="698" spans="2:14" ht="14.25" customHeight="1" x14ac:dyDescent="0.25"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</row>
    <row r="699" spans="2:14" ht="14.25" customHeight="1" x14ac:dyDescent="0.25"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</row>
    <row r="700" spans="2:14" ht="14.25" customHeight="1" x14ac:dyDescent="0.25"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</row>
    <row r="701" spans="2:14" ht="14.25" customHeight="1" x14ac:dyDescent="0.25"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</row>
    <row r="702" spans="2:14" ht="14.25" customHeight="1" x14ac:dyDescent="0.25"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</row>
    <row r="703" spans="2:14" ht="14.25" customHeight="1" x14ac:dyDescent="0.25"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</row>
    <row r="704" spans="2:14" ht="14.25" customHeight="1" x14ac:dyDescent="0.25"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</row>
    <row r="705" spans="2:14" ht="14.25" customHeight="1" x14ac:dyDescent="0.25"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</row>
    <row r="706" spans="2:14" ht="14.25" customHeight="1" x14ac:dyDescent="0.25"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</row>
    <row r="707" spans="2:14" ht="14.25" customHeight="1" x14ac:dyDescent="0.25"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</row>
    <row r="708" spans="2:14" ht="14.25" customHeight="1" x14ac:dyDescent="0.25"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</row>
    <row r="709" spans="2:14" ht="14.25" customHeight="1" x14ac:dyDescent="0.25"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</row>
    <row r="710" spans="2:14" ht="14.25" customHeight="1" x14ac:dyDescent="0.25"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</row>
    <row r="711" spans="2:14" ht="14.25" customHeight="1" x14ac:dyDescent="0.25"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</row>
    <row r="712" spans="2:14" ht="14.25" customHeight="1" x14ac:dyDescent="0.25"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</row>
    <row r="713" spans="2:14" ht="14.25" customHeight="1" x14ac:dyDescent="0.25"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</row>
    <row r="714" spans="2:14" ht="14.25" customHeight="1" x14ac:dyDescent="0.25"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</row>
    <row r="715" spans="2:14" ht="14.25" customHeight="1" x14ac:dyDescent="0.25"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</row>
    <row r="716" spans="2:14" ht="14.25" customHeight="1" x14ac:dyDescent="0.25"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</row>
    <row r="717" spans="2:14" ht="14.25" customHeight="1" x14ac:dyDescent="0.25"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</row>
    <row r="718" spans="2:14" ht="14.25" customHeight="1" x14ac:dyDescent="0.25"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</row>
    <row r="719" spans="2:14" ht="14.25" customHeight="1" x14ac:dyDescent="0.25"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</row>
    <row r="720" spans="2:14" ht="14.25" customHeight="1" x14ac:dyDescent="0.25"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</row>
    <row r="721" spans="2:14" ht="14.25" customHeight="1" x14ac:dyDescent="0.25"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</row>
    <row r="722" spans="2:14" ht="14.25" customHeight="1" x14ac:dyDescent="0.25"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</row>
    <row r="723" spans="2:14" ht="14.25" customHeight="1" x14ac:dyDescent="0.25"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</row>
    <row r="724" spans="2:14" ht="14.25" customHeight="1" x14ac:dyDescent="0.25"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</row>
    <row r="725" spans="2:14" ht="14.25" customHeight="1" x14ac:dyDescent="0.25"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</row>
    <row r="726" spans="2:14" ht="14.25" customHeight="1" x14ac:dyDescent="0.25"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</row>
    <row r="727" spans="2:14" ht="14.25" customHeight="1" x14ac:dyDescent="0.25"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</row>
    <row r="728" spans="2:14" ht="14.25" customHeight="1" x14ac:dyDescent="0.25"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</row>
    <row r="729" spans="2:14" ht="14.25" customHeight="1" x14ac:dyDescent="0.25"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</row>
    <row r="730" spans="2:14" ht="14.25" customHeight="1" x14ac:dyDescent="0.25"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</row>
    <row r="731" spans="2:14" ht="14.25" customHeight="1" x14ac:dyDescent="0.25"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</row>
    <row r="732" spans="2:14" ht="14.25" customHeight="1" x14ac:dyDescent="0.25"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</row>
    <row r="733" spans="2:14" ht="14.25" customHeight="1" x14ac:dyDescent="0.25"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</row>
    <row r="734" spans="2:14" ht="14.25" customHeight="1" x14ac:dyDescent="0.25"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</row>
    <row r="735" spans="2:14" ht="14.25" customHeight="1" x14ac:dyDescent="0.25"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</row>
    <row r="736" spans="2:14" ht="14.25" customHeight="1" x14ac:dyDescent="0.25"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</row>
    <row r="737" spans="2:14" ht="14.25" customHeight="1" x14ac:dyDescent="0.25"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</row>
    <row r="738" spans="2:14" ht="14.25" customHeight="1" x14ac:dyDescent="0.25"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</row>
    <row r="739" spans="2:14" ht="14.25" customHeight="1" x14ac:dyDescent="0.25"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</row>
    <row r="740" spans="2:14" ht="14.25" customHeight="1" x14ac:dyDescent="0.25"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</row>
    <row r="741" spans="2:14" ht="14.25" customHeight="1" x14ac:dyDescent="0.25"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</row>
    <row r="742" spans="2:14" ht="14.25" customHeight="1" x14ac:dyDescent="0.25"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</row>
    <row r="743" spans="2:14" ht="14.25" customHeight="1" x14ac:dyDescent="0.25"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</row>
    <row r="744" spans="2:14" ht="14.25" customHeight="1" x14ac:dyDescent="0.25"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</row>
    <row r="745" spans="2:14" ht="14.25" customHeight="1" x14ac:dyDescent="0.25"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</row>
    <row r="746" spans="2:14" ht="14.25" customHeight="1" x14ac:dyDescent="0.25"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</row>
    <row r="747" spans="2:14" ht="14.25" customHeight="1" x14ac:dyDescent="0.25"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</row>
    <row r="748" spans="2:14" ht="14.25" customHeight="1" x14ac:dyDescent="0.25"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</row>
    <row r="749" spans="2:14" ht="14.25" customHeight="1" x14ac:dyDescent="0.25"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</row>
    <row r="750" spans="2:14" ht="14.25" customHeight="1" x14ac:dyDescent="0.25"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</row>
    <row r="751" spans="2:14" ht="14.25" customHeight="1" x14ac:dyDescent="0.25"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</row>
    <row r="752" spans="2:14" ht="14.25" customHeight="1" x14ac:dyDescent="0.25"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</row>
    <row r="753" spans="2:14" ht="14.25" customHeight="1" x14ac:dyDescent="0.25"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</row>
    <row r="754" spans="2:14" ht="14.25" customHeight="1" x14ac:dyDescent="0.25"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</row>
    <row r="755" spans="2:14" ht="14.25" customHeight="1" x14ac:dyDescent="0.25"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</row>
    <row r="756" spans="2:14" ht="14.25" customHeight="1" x14ac:dyDescent="0.25"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</row>
    <row r="757" spans="2:14" ht="14.25" customHeight="1" x14ac:dyDescent="0.25"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</row>
    <row r="758" spans="2:14" ht="14.25" customHeight="1" x14ac:dyDescent="0.25"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</row>
    <row r="759" spans="2:14" ht="14.25" customHeight="1" x14ac:dyDescent="0.25"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</row>
    <row r="760" spans="2:14" ht="14.25" customHeight="1" x14ac:dyDescent="0.25"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</row>
    <row r="761" spans="2:14" ht="14.25" customHeight="1" x14ac:dyDescent="0.25"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</row>
    <row r="762" spans="2:14" ht="14.25" customHeight="1" x14ac:dyDescent="0.25"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</row>
    <row r="763" spans="2:14" ht="14.25" customHeight="1" x14ac:dyDescent="0.25"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</row>
    <row r="764" spans="2:14" ht="14.25" customHeight="1" x14ac:dyDescent="0.25"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</row>
    <row r="765" spans="2:14" ht="14.25" customHeight="1" x14ac:dyDescent="0.25"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</row>
    <row r="766" spans="2:14" ht="14.25" customHeight="1" x14ac:dyDescent="0.25"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</row>
    <row r="767" spans="2:14" ht="14.25" customHeight="1" x14ac:dyDescent="0.25"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</row>
    <row r="768" spans="2:14" ht="14.25" customHeight="1" x14ac:dyDescent="0.25"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</row>
    <row r="769" spans="2:14" ht="14.25" customHeight="1" x14ac:dyDescent="0.25"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</row>
    <row r="770" spans="2:14" ht="14.25" customHeight="1" x14ac:dyDescent="0.25"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</row>
    <row r="771" spans="2:14" ht="14.25" customHeight="1" x14ac:dyDescent="0.25"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</row>
    <row r="772" spans="2:14" ht="14.25" customHeight="1" x14ac:dyDescent="0.25"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</row>
    <row r="773" spans="2:14" ht="14.25" customHeight="1" x14ac:dyDescent="0.25"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</row>
    <row r="774" spans="2:14" ht="14.25" customHeight="1" x14ac:dyDescent="0.25"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</row>
    <row r="775" spans="2:14" ht="14.25" customHeight="1" x14ac:dyDescent="0.25"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</row>
    <row r="776" spans="2:14" ht="14.25" customHeight="1" x14ac:dyDescent="0.25"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</row>
    <row r="777" spans="2:14" ht="14.25" customHeight="1" x14ac:dyDescent="0.25"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</row>
    <row r="778" spans="2:14" ht="14.25" customHeight="1" x14ac:dyDescent="0.25"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</row>
    <row r="779" spans="2:14" ht="14.25" customHeight="1" x14ac:dyDescent="0.25"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</row>
    <row r="780" spans="2:14" ht="14.25" customHeight="1" x14ac:dyDescent="0.25"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</row>
    <row r="781" spans="2:14" ht="14.25" customHeight="1" x14ac:dyDescent="0.25"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</row>
    <row r="782" spans="2:14" ht="14.25" customHeight="1" x14ac:dyDescent="0.25"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</row>
    <row r="783" spans="2:14" ht="14.25" customHeight="1" x14ac:dyDescent="0.25"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</row>
    <row r="784" spans="2:14" ht="14.25" customHeight="1" x14ac:dyDescent="0.25"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</row>
    <row r="785" spans="2:14" ht="14.25" customHeight="1" x14ac:dyDescent="0.25"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</row>
    <row r="786" spans="2:14" ht="14.25" customHeight="1" x14ac:dyDescent="0.25"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</row>
    <row r="787" spans="2:14" ht="14.25" customHeight="1" x14ac:dyDescent="0.25"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</row>
    <row r="788" spans="2:14" ht="14.25" customHeight="1" x14ac:dyDescent="0.25"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</row>
    <row r="789" spans="2:14" ht="14.25" customHeight="1" x14ac:dyDescent="0.25"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</row>
    <row r="790" spans="2:14" ht="14.25" customHeight="1" x14ac:dyDescent="0.25"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</row>
    <row r="791" spans="2:14" ht="14.25" customHeight="1" x14ac:dyDescent="0.25"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</row>
    <row r="792" spans="2:14" ht="14.25" customHeight="1" x14ac:dyDescent="0.25"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</row>
    <row r="793" spans="2:14" ht="14.25" customHeight="1" x14ac:dyDescent="0.25"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</row>
    <row r="794" spans="2:14" ht="14.25" customHeight="1" x14ac:dyDescent="0.25"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</row>
    <row r="795" spans="2:14" ht="14.25" customHeight="1" x14ac:dyDescent="0.25"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</row>
    <row r="796" spans="2:14" ht="14.25" customHeight="1" x14ac:dyDescent="0.25"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</row>
    <row r="797" spans="2:14" ht="14.25" customHeight="1" x14ac:dyDescent="0.25"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</row>
    <row r="798" spans="2:14" ht="14.25" customHeight="1" x14ac:dyDescent="0.25"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</row>
    <row r="799" spans="2:14" ht="14.25" customHeight="1" x14ac:dyDescent="0.25"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</row>
    <row r="800" spans="2:14" ht="14.25" customHeight="1" x14ac:dyDescent="0.25"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</row>
    <row r="801" spans="2:14" ht="14.25" customHeight="1" x14ac:dyDescent="0.25"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</row>
    <row r="802" spans="2:14" ht="14.25" customHeight="1" x14ac:dyDescent="0.25"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</row>
    <row r="803" spans="2:14" ht="14.25" customHeight="1" x14ac:dyDescent="0.25"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</row>
    <row r="804" spans="2:14" ht="14.25" customHeight="1" x14ac:dyDescent="0.25"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</row>
    <row r="805" spans="2:14" ht="14.25" customHeight="1" x14ac:dyDescent="0.25"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</row>
    <row r="806" spans="2:14" ht="14.25" customHeight="1" x14ac:dyDescent="0.25"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</row>
    <row r="807" spans="2:14" ht="14.25" customHeight="1" x14ac:dyDescent="0.25"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</row>
    <row r="808" spans="2:14" ht="14.25" customHeight="1" x14ac:dyDescent="0.25"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</row>
    <row r="809" spans="2:14" ht="14.25" customHeight="1" x14ac:dyDescent="0.25"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</row>
    <row r="810" spans="2:14" ht="14.25" customHeight="1" x14ac:dyDescent="0.25"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</row>
    <row r="811" spans="2:14" ht="14.25" customHeight="1" x14ac:dyDescent="0.25"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</row>
    <row r="812" spans="2:14" ht="14.25" customHeight="1" x14ac:dyDescent="0.25"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</row>
    <row r="813" spans="2:14" ht="14.25" customHeight="1" x14ac:dyDescent="0.25"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</row>
    <row r="814" spans="2:14" ht="14.25" customHeight="1" x14ac:dyDescent="0.25"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</row>
    <row r="815" spans="2:14" ht="14.25" customHeight="1" x14ac:dyDescent="0.25"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</row>
    <row r="816" spans="2:14" ht="14.25" customHeight="1" x14ac:dyDescent="0.25"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</row>
    <row r="817" spans="2:14" ht="14.25" customHeight="1" x14ac:dyDescent="0.25"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</row>
    <row r="818" spans="2:14" ht="14.25" customHeight="1" x14ac:dyDescent="0.25"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</row>
    <row r="819" spans="2:14" ht="14.25" customHeight="1" x14ac:dyDescent="0.25"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</row>
    <row r="820" spans="2:14" ht="14.25" customHeight="1" x14ac:dyDescent="0.25"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</row>
    <row r="821" spans="2:14" ht="14.25" customHeight="1" x14ac:dyDescent="0.25"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</row>
    <row r="822" spans="2:14" ht="14.25" customHeight="1" x14ac:dyDescent="0.25"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</row>
    <row r="823" spans="2:14" ht="14.25" customHeight="1" x14ac:dyDescent="0.25"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</row>
    <row r="824" spans="2:14" ht="14.25" customHeight="1" x14ac:dyDescent="0.25"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</row>
    <row r="825" spans="2:14" ht="14.25" customHeight="1" x14ac:dyDescent="0.25"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</row>
    <row r="826" spans="2:14" ht="14.25" customHeight="1" x14ac:dyDescent="0.25"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</row>
    <row r="827" spans="2:14" ht="14.25" customHeight="1" x14ac:dyDescent="0.25"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</row>
    <row r="828" spans="2:14" ht="14.25" customHeight="1" x14ac:dyDescent="0.25"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</row>
    <row r="829" spans="2:14" ht="14.25" customHeight="1" x14ac:dyDescent="0.25"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</row>
    <row r="830" spans="2:14" ht="14.25" customHeight="1" x14ac:dyDescent="0.25"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</row>
    <row r="831" spans="2:14" ht="14.25" customHeight="1" x14ac:dyDescent="0.25"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</row>
    <row r="832" spans="2:14" ht="14.25" customHeight="1" x14ac:dyDescent="0.25"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</row>
    <row r="833" spans="2:14" ht="14.25" customHeight="1" x14ac:dyDescent="0.25"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</row>
    <row r="834" spans="2:14" ht="14.25" customHeight="1" x14ac:dyDescent="0.25"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</row>
    <row r="835" spans="2:14" ht="14.25" customHeight="1" x14ac:dyDescent="0.25"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</row>
    <row r="836" spans="2:14" ht="14.25" customHeight="1" x14ac:dyDescent="0.25"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</row>
    <row r="837" spans="2:14" ht="14.25" customHeight="1" x14ac:dyDescent="0.25"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</row>
    <row r="838" spans="2:14" ht="14.25" customHeight="1" x14ac:dyDescent="0.25"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</row>
    <row r="839" spans="2:14" ht="14.25" customHeight="1" x14ac:dyDescent="0.25"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</row>
    <row r="840" spans="2:14" ht="14.25" customHeight="1" x14ac:dyDescent="0.25"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</row>
    <row r="841" spans="2:14" ht="14.25" customHeight="1" x14ac:dyDescent="0.25"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</row>
    <row r="842" spans="2:14" ht="14.25" customHeight="1" x14ac:dyDescent="0.25"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</row>
    <row r="843" spans="2:14" ht="14.25" customHeight="1" x14ac:dyDescent="0.25"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</row>
    <row r="844" spans="2:14" ht="14.25" customHeight="1" x14ac:dyDescent="0.25"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</row>
    <row r="845" spans="2:14" ht="14.25" customHeight="1" x14ac:dyDescent="0.25"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</row>
    <row r="846" spans="2:14" ht="14.25" customHeight="1" x14ac:dyDescent="0.25"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</row>
    <row r="847" spans="2:14" ht="14.25" customHeight="1" x14ac:dyDescent="0.25"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</row>
    <row r="848" spans="2:14" ht="14.25" customHeight="1" x14ac:dyDescent="0.25"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</row>
    <row r="849" spans="2:14" ht="14.25" customHeight="1" x14ac:dyDescent="0.25"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</row>
    <row r="850" spans="2:14" ht="14.25" customHeight="1" x14ac:dyDescent="0.25"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</row>
    <row r="851" spans="2:14" ht="14.25" customHeight="1" x14ac:dyDescent="0.25"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</row>
    <row r="852" spans="2:14" ht="14.25" customHeight="1" x14ac:dyDescent="0.25"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</row>
    <row r="853" spans="2:14" ht="14.25" customHeight="1" x14ac:dyDescent="0.25"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</row>
    <row r="854" spans="2:14" ht="14.25" customHeight="1" x14ac:dyDescent="0.25"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</row>
    <row r="855" spans="2:14" ht="14.25" customHeight="1" x14ac:dyDescent="0.25"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</row>
    <row r="856" spans="2:14" ht="14.25" customHeight="1" x14ac:dyDescent="0.25"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</row>
    <row r="857" spans="2:14" ht="14.25" customHeight="1" x14ac:dyDescent="0.25"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</row>
    <row r="858" spans="2:14" ht="14.25" customHeight="1" x14ac:dyDescent="0.25"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</row>
    <row r="859" spans="2:14" ht="14.25" customHeight="1" x14ac:dyDescent="0.25"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</row>
    <row r="860" spans="2:14" ht="14.25" customHeight="1" x14ac:dyDescent="0.25"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</row>
    <row r="861" spans="2:14" ht="14.25" customHeight="1" x14ac:dyDescent="0.25"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</row>
    <row r="862" spans="2:14" ht="14.25" customHeight="1" x14ac:dyDescent="0.25"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</row>
    <row r="863" spans="2:14" ht="14.25" customHeight="1" x14ac:dyDescent="0.25"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</row>
    <row r="864" spans="2:14" ht="14.25" customHeight="1" x14ac:dyDescent="0.25"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</row>
    <row r="865" spans="2:14" ht="14.25" customHeight="1" x14ac:dyDescent="0.25"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</row>
    <row r="866" spans="2:14" ht="14.25" customHeight="1" x14ac:dyDescent="0.25"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</row>
    <row r="867" spans="2:14" ht="14.25" customHeight="1" x14ac:dyDescent="0.25"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</row>
    <row r="868" spans="2:14" ht="14.25" customHeight="1" x14ac:dyDescent="0.25"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</row>
    <row r="869" spans="2:14" ht="14.25" customHeight="1" x14ac:dyDescent="0.25"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</row>
    <row r="870" spans="2:14" ht="14.25" customHeight="1" x14ac:dyDescent="0.25"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</row>
    <row r="871" spans="2:14" ht="14.25" customHeight="1" x14ac:dyDescent="0.25"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</row>
    <row r="872" spans="2:14" ht="14.25" customHeight="1" x14ac:dyDescent="0.25"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</row>
    <row r="873" spans="2:14" ht="14.25" customHeight="1" x14ac:dyDescent="0.25"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</row>
    <row r="874" spans="2:14" ht="14.25" customHeight="1" x14ac:dyDescent="0.25"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</row>
    <row r="875" spans="2:14" ht="14.25" customHeight="1" x14ac:dyDescent="0.25"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</row>
    <row r="876" spans="2:14" ht="14.25" customHeight="1" x14ac:dyDescent="0.25"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</row>
    <row r="877" spans="2:14" ht="14.25" customHeight="1" x14ac:dyDescent="0.25"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</row>
    <row r="878" spans="2:14" ht="14.25" customHeight="1" x14ac:dyDescent="0.25"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</row>
    <row r="879" spans="2:14" ht="14.25" customHeight="1" x14ac:dyDescent="0.25"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</row>
    <row r="880" spans="2:14" ht="14.25" customHeight="1" x14ac:dyDescent="0.25"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</row>
    <row r="881" spans="2:14" ht="14.25" customHeight="1" x14ac:dyDescent="0.25"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</row>
    <row r="882" spans="2:14" ht="14.25" customHeight="1" x14ac:dyDescent="0.25"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</row>
    <row r="883" spans="2:14" ht="14.25" customHeight="1" x14ac:dyDescent="0.25"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</row>
    <row r="884" spans="2:14" ht="14.25" customHeight="1" x14ac:dyDescent="0.25"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</row>
    <row r="885" spans="2:14" ht="14.25" customHeight="1" x14ac:dyDescent="0.25"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</row>
    <row r="886" spans="2:14" ht="14.25" customHeight="1" x14ac:dyDescent="0.25"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</row>
    <row r="887" spans="2:14" ht="14.25" customHeight="1" x14ac:dyDescent="0.25"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</row>
    <row r="888" spans="2:14" ht="14.25" customHeight="1" x14ac:dyDescent="0.25"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</row>
    <row r="889" spans="2:14" ht="14.25" customHeight="1" x14ac:dyDescent="0.25"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</row>
    <row r="890" spans="2:14" ht="14.25" customHeight="1" x14ac:dyDescent="0.25"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</row>
    <row r="891" spans="2:14" ht="14.25" customHeight="1" x14ac:dyDescent="0.25"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</row>
    <row r="892" spans="2:14" ht="14.25" customHeight="1" x14ac:dyDescent="0.25"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</row>
    <row r="893" spans="2:14" ht="14.25" customHeight="1" x14ac:dyDescent="0.25"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</row>
    <row r="894" spans="2:14" ht="14.25" customHeight="1" x14ac:dyDescent="0.25"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</row>
    <row r="895" spans="2:14" ht="14.25" customHeight="1" x14ac:dyDescent="0.25"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</row>
    <row r="896" spans="2:14" ht="14.25" customHeight="1" x14ac:dyDescent="0.25"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</row>
    <row r="897" spans="2:14" ht="14.25" customHeight="1" x14ac:dyDescent="0.25"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</row>
    <row r="898" spans="2:14" ht="14.25" customHeight="1" x14ac:dyDescent="0.25"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</row>
    <row r="899" spans="2:14" ht="14.25" customHeight="1" x14ac:dyDescent="0.25"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</row>
    <row r="900" spans="2:14" ht="14.25" customHeight="1" x14ac:dyDescent="0.25"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</row>
    <row r="901" spans="2:14" ht="14.25" customHeight="1" x14ac:dyDescent="0.25"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</row>
    <row r="902" spans="2:14" ht="14.25" customHeight="1" x14ac:dyDescent="0.25"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</row>
    <row r="903" spans="2:14" ht="14.25" customHeight="1" x14ac:dyDescent="0.25"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</row>
    <row r="904" spans="2:14" ht="14.25" customHeight="1" x14ac:dyDescent="0.25"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</row>
    <row r="905" spans="2:14" ht="14.25" customHeight="1" x14ac:dyDescent="0.25"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</row>
    <row r="906" spans="2:14" ht="14.25" customHeight="1" x14ac:dyDescent="0.25"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</row>
    <row r="907" spans="2:14" ht="14.25" customHeight="1" x14ac:dyDescent="0.25"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</row>
    <row r="908" spans="2:14" ht="14.25" customHeight="1" x14ac:dyDescent="0.25"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</row>
    <row r="909" spans="2:14" ht="14.25" customHeight="1" x14ac:dyDescent="0.25"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</row>
    <row r="910" spans="2:14" ht="14.25" customHeight="1" x14ac:dyDescent="0.25"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</row>
    <row r="911" spans="2:14" ht="14.25" customHeight="1" x14ac:dyDescent="0.25"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</row>
    <row r="912" spans="2:14" ht="14.25" customHeight="1" x14ac:dyDescent="0.25"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</row>
    <row r="913" spans="2:14" ht="14.25" customHeight="1" x14ac:dyDescent="0.25"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</row>
    <row r="914" spans="2:14" ht="14.25" customHeight="1" x14ac:dyDescent="0.25"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</row>
    <row r="915" spans="2:14" ht="14.25" customHeight="1" x14ac:dyDescent="0.25"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</row>
    <row r="916" spans="2:14" ht="14.25" customHeight="1" x14ac:dyDescent="0.25"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</row>
    <row r="917" spans="2:14" ht="14.25" customHeight="1" x14ac:dyDescent="0.25"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</row>
    <row r="918" spans="2:14" ht="14.25" customHeight="1" x14ac:dyDescent="0.25"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</row>
    <row r="919" spans="2:14" ht="14.25" customHeight="1" x14ac:dyDescent="0.25"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</row>
    <row r="920" spans="2:14" ht="14.25" customHeight="1" x14ac:dyDescent="0.25"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</row>
    <row r="921" spans="2:14" ht="14.25" customHeight="1" x14ac:dyDescent="0.25"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</row>
    <row r="922" spans="2:14" ht="14.25" customHeight="1" x14ac:dyDescent="0.25"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</row>
    <row r="923" spans="2:14" ht="14.25" customHeight="1" x14ac:dyDescent="0.25"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</row>
    <row r="924" spans="2:14" ht="14.25" customHeight="1" x14ac:dyDescent="0.25"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</row>
    <row r="925" spans="2:14" ht="14.25" customHeight="1" x14ac:dyDescent="0.25"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</row>
    <row r="926" spans="2:14" ht="14.25" customHeight="1" x14ac:dyDescent="0.25"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</row>
    <row r="927" spans="2:14" ht="14.25" customHeight="1" x14ac:dyDescent="0.25"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</row>
    <row r="928" spans="2:14" ht="14.25" customHeight="1" x14ac:dyDescent="0.25"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</row>
    <row r="929" spans="2:14" ht="14.25" customHeight="1" x14ac:dyDescent="0.25"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</row>
    <row r="930" spans="2:14" ht="14.25" customHeight="1" x14ac:dyDescent="0.25"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</row>
    <row r="931" spans="2:14" ht="14.25" customHeight="1" x14ac:dyDescent="0.25"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</row>
    <row r="932" spans="2:14" ht="14.25" customHeight="1" x14ac:dyDescent="0.25"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</row>
    <row r="933" spans="2:14" ht="14.25" customHeight="1" x14ac:dyDescent="0.25"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</row>
    <row r="934" spans="2:14" ht="14.25" customHeight="1" x14ac:dyDescent="0.25"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</row>
    <row r="935" spans="2:14" ht="14.25" customHeight="1" x14ac:dyDescent="0.25"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</row>
    <row r="936" spans="2:14" ht="14.25" customHeight="1" x14ac:dyDescent="0.25"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</row>
    <row r="937" spans="2:14" ht="14.25" customHeight="1" x14ac:dyDescent="0.25"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</row>
    <row r="938" spans="2:14" ht="14.25" customHeight="1" x14ac:dyDescent="0.25"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</row>
    <row r="939" spans="2:14" ht="14.25" customHeight="1" x14ac:dyDescent="0.25"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</row>
    <row r="940" spans="2:14" ht="14.25" customHeight="1" x14ac:dyDescent="0.25"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</row>
    <row r="941" spans="2:14" ht="14.25" customHeight="1" x14ac:dyDescent="0.25"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</row>
    <row r="942" spans="2:14" ht="14.25" customHeight="1" x14ac:dyDescent="0.25"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</row>
    <row r="943" spans="2:14" ht="14.25" customHeight="1" x14ac:dyDescent="0.25"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</row>
    <row r="944" spans="2:14" ht="14.25" customHeight="1" x14ac:dyDescent="0.25"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</row>
    <row r="945" spans="2:14" ht="14.25" customHeight="1" x14ac:dyDescent="0.25"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</row>
    <row r="946" spans="2:14" ht="14.25" customHeight="1" x14ac:dyDescent="0.25"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</row>
    <row r="947" spans="2:14" ht="14.25" customHeight="1" x14ac:dyDescent="0.25"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</row>
    <row r="948" spans="2:14" ht="14.25" customHeight="1" x14ac:dyDescent="0.25"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</row>
    <row r="949" spans="2:14" ht="14.25" customHeight="1" x14ac:dyDescent="0.25"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</row>
    <row r="950" spans="2:14" ht="14.25" customHeight="1" x14ac:dyDescent="0.25"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</row>
    <row r="951" spans="2:14" ht="14.25" customHeight="1" x14ac:dyDescent="0.25"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</row>
    <row r="952" spans="2:14" ht="14.25" customHeight="1" x14ac:dyDescent="0.25"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</row>
    <row r="953" spans="2:14" ht="14.25" customHeight="1" x14ac:dyDescent="0.25"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</row>
    <row r="954" spans="2:14" ht="14.25" customHeight="1" x14ac:dyDescent="0.25"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</row>
    <row r="955" spans="2:14" ht="14.25" customHeight="1" x14ac:dyDescent="0.25"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</row>
    <row r="956" spans="2:14" ht="14.25" customHeight="1" x14ac:dyDescent="0.25"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</row>
    <row r="957" spans="2:14" ht="14.25" customHeight="1" x14ac:dyDescent="0.25"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</row>
    <row r="958" spans="2:14" ht="14.25" customHeight="1" x14ac:dyDescent="0.25"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</row>
    <row r="959" spans="2:14" ht="14.25" customHeight="1" x14ac:dyDescent="0.25"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</row>
    <row r="960" spans="2:14" ht="14.25" customHeight="1" x14ac:dyDescent="0.25"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</row>
    <row r="961" spans="2:14" ht="14.25" customHeight="1" x14ac:dyDescent="0.25"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</row>
    <row r="962" spans="2:14" ht="14.25" customHeight="1" x14ac:dyDescent="0.25"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</row>
    <row r="963" spans="2:14" ht="14.25" customHeight="1" x14ac:dyDescent="0.25"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</row>
    <row r="964" spans="2:14" ht="14.25" customHeight="1" x14ac:dyDescent="0.25"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</row>
    <row r="965" spans="2:14" ht="14.25" customHeight="1" x14ac:dyDescent="0.25"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</row>
    <row r="966" spans="2:14" ht="14.25" customHeight="1" x14ac:dyDescent="0.25"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</row>
    <row r="967" spans="2:14" ht="14.25" customHeight="1" x14ac:dyDescent="0.25"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</row>
    <row r="968" spans="2:14" ht="14.25" customHeight="1" x14ac:dyDescent="0.25"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</row>
    <row r="969" spans="2:14" ht="14.25" customHeight="1" x14ac:dyDescent="0.25"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</row>
    <row r="970" spans="2:14" ht="14.25" customHeight="1" x14ac:dyDescent="0.25"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</row>
    <row r="971" spans="2:14" ht="14.25" customHeight="1" x14ac:dyDescent="0.25"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</row>
    <row r="972" spans="2:14" ht="14.25" customHeight="1" x14ac:dyDescent="0.25"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</row>
    <row r="973" spans="2:14" ht="14.25" customHeight="1" x14ac:dyDescent="0.25"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</row>
    <row r="974" spans="2:14" ht="14.25" customHeight="1" x14ac:dyDescent="0.25"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</row>
    <row r="975" spans="2:14" ht="14.25" customHeight="1" x14ac:dyDescent="0.25"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</row>
    <row r="976" spans="2:14" ht="14.25" customHeight="1" x14ac:dyDescent="0.25"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</row>
    <row r="977" spans="2:14" ht="14.25" customHeight="1" x14ac:dyDescent="0.25"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</row>
    <row r="978" spans="2:14" ht="14.25" customHeight="1" x14ac:dyDescent="0.25"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</row>
    <row r="979" spans="2:14" ht="14.25" customHeight="1" x14ac:dyDescent="0.25"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</row>
    <row r="980" spans="2:14" ht="14.25" customHeight="1" x14ac:dyDescent="0.25"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</row>
    <row r="981" spans="2:14" ht="14.25" customHeight="1" x14ac:dyDescent="0.25"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</row>
    <row r="982" spans="2:14" ht="14.25" customHeight="1" x14ac:dyDescent="0.25"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</row>
    <row r="983" spans="2:14" ht="14.25" customHeight="1" x14ac:dyDescent="0.25"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</row>
    <row r="984" spans="2:14" ht="14.25" customHeight="1" x14ac:dyDescent="0.25"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</row>
    <row r="985" spans="2:14" ht="14.25" customHeight="1" x14ac:dyDescent="0.25"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</row>
    <row r="986" spans="2:14" ht="14.25" customHeight="1" x14ac:dyDescent="0.25"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</row>
    <row r="987" spans="2:14" ht="14.25" customHeight="1" x14ac:dyDescent="0.25"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</row>
    <row r="988" spans="2:14" ht="14.25" customHeight="1" x14ac:dyDescent="0.25"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</row>
    <row r="989" spans="2:14" ht="14.25" customHeight="1" x14ac:dyDescent="0.25"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</row>
    <row r="990" spans="2:14" ht="14.25" customHeight="1" x14ac:dyDescent="0.25"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</row>
    <row r="991" spans="2:14" ht="14.25" customHeight="1" x14ac:dyDescent="0.25"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</row>
    <row r="992" spans="2:14" ht="14.25" customHeight="1" x14ac:dyDescent="0.25"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</row>
    <row r="993" spans="2:14" ht="14.25" customHeight="1" x14ac:dyDescent="0.25"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</row>
    <row r="994" spans="2:14" ht="14.25" customHeight="1" x14ac:dyDescent="0.25"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</row>
    <row r="995" spans="2:14" ht="14.25" customHeight="1" x14ac:dyDescent="0.25"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</row>
    <row r="996" spans="2:14" ht="14.25" customHeight="1" x14ac:dyDescent="0.25"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</row>
    <row r="997" spans="2:14" ht="14.25" customHeight="1" x14ac:dyDescent="0.25"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</row>
    <row r="998" spans="2:14" ht="14.25" customHeight="1" x14ac:dyDescent="0.25"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</row>
  </sheetData>
  <pageMargins left="0.7" right="0.7" top="0.75" bottom="0.75" header="0" footer="0"/>
  <pageSetup paperSize="5" orientation="landscape" r:id="rId1"/>
  <headerFooter>
    <oddHeader>&amp;C2022 Draft Budget
&amp;A</oddHeader>
    <oddFooter>&amp;C&amp;F  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topLeftCell="F1" zoomScale="150" zoomScaleNormal="150" workbookViewId="0">
      <selection activeCell="L127" sqref="L127"/>
    </sheetView>
  </sheetViews>
  <sheetFormatPr defaultColWidth="12.625" defaultRowHeight="15" customHeight="1" x14ac:dyDescent="0.2"/>
  <cols>
    <col min="1" max="1" width="32" customWidth="1"/>
    <col min="2" max="14" width="10.75" customWidth="1"/>
    <col min="15" max="15" width="12" customWidth="1"/>
    <col min="16" max="16" width="12.125" customWidth="1"/>
    <col min="17" max="17" width="13.25" customWidth="1"/>
    <col min="18" max="18" width="12.875" customWidth="1"/>
    <col min="19" max="26" width="7.625" customWidth="1"/>
  </cols>
  <sheetData>
    <row r="1" spans="1:26" ht="69.75" customHeight="1" x14ac:dyDescent="0.25">
      <c r="A1" s="20" t="s">
        <v>6</v>
      </c>
      <c r="B1" s="20" t="s">
        <v>17</v>
      </c>
      <c r="C1" s="20" t="s">
        <v>18</v>
      </c>
      <c r="D1" s="20" t="s">
        <v>19</v>
      </c>
      <c r="E1" s="20" t="s">
        <v>20</v>
      </c>
      <c r="F1" s="20" t="s">
        <v>21</v>
      </c>
      <c r="G1" s="20" t="s">
        <v>22</v>
      </c>
      <c r="H1" s="20" t="s">
        <v>23</v>
      </c>
      <c r="I1" s="20" t="s">
        <v>24</v>
      </c>
      <c r="J1" s="20" t="s">
        <v>25</v>
      </c>
      <c r="K1" s="20" t="s">
        <v>7</v>
      </c>
      <c r="L1" s="20" t="s">
        <v>8</v>
      </c>
      <c r="M1" s="20" t="s">
        <v>9</v>
      </c>
      <c r="N1" s="58" t="s">
        <v>153</v>
      </c>
      <c r="O1" s="44" t="s">
        <v>171</v>
      </c>
      <c r="P1" s="44" t="s">
        <v>175</v>
      </c>
      <c r="Q1" s="44" t="s">
        <v>176</v>
      </c>
      <c r="R1" s="44"/>
      <c r="S1" s="15"/>
      <c r="T1" s="15"/>
      <c r="U1" s="15"/>
      <c r="V1" s="15"/>
      <c r="W1" s="15"/>
      <c r="X1" s="15"/>
      <c r="Y1" s="15"/>
      <c r="Z1" s="15"/>
    </row>
    <row r="2" spans="1:26" ht="14.25" customHeight="1" x14ac:dyDescent="0.25">
      <c r="A2" s="15" t="s">
        <v>11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>
        <f t="shared" ref="N2:N106" si="0">SUM(B2:M2)</f>
        <v>0</v>
      </c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s="57" customFormat="1" ht="14.25" customHeight="1" x14ac:dyDescent="0.25">
      <c r="A3" s="120" t="s">
        <v>26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>
        <f t="shared" si="0"/>
        <v>0</v>
      </c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spans="1:26" ht="14.25" customHeight="1" x14ac:dyDescent="0.25">
      <c r="A4" s="15" t="s">
        <v>27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>
        <f t="shared" si="0"/>
        <v>0</v>
      </c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4.25" customHeight="1" x14ac:dyDescent="0.25">
      <c r="A5" s="15" t="s">
        <v>28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>
        <f t="shared" si="0"/>
        <v>0</v>
      </c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4.25" customHeight="1" x14ac:dyDescent="0.25">
      <c r="A6" s="15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>
        <f t="shared" si="0"/>
        <v>0</v>
      </c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s="57" customFormat="1" ht="14.25" customHeight="1" x14ac:dyDescent="0.25">
      <c r="A7" s="55" t="s">
        <v>30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>
        <f t="shared" si="0"/>
        <v>0</v>
      </c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</row>
    <row r="8" spans="1:26" ht="14.25" customHeight="1" x14ac:dyDescent="0.25">
      <c r="A8" s="15" t="s">
        <v>31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 t="shared" si="0"/>
        <v>0</v>
      </c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4.25" customHeight="1" x14ac:dyDescent="0.25">
      <c r="A9" s="29" t="s">
        <v>32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>
        <f t="shared" si="0"/>
        <v>0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4.25" customHeight="1" x14ac:dyDescent="0.25">
      <c r="A10" s="15" t="s">
        <v>33</v>
      </c>
      <c r="B10" s="15"/>
      <c r="C10" s="18"/>
      <c r="D10" s="18"/>
      <c r="E10" s="15"/>
      <c r="F10" s="15"/>
      <c r="G10" s="18"/>
      <c r="H10" s="18"/>
      <c r="I10" s="15"/>
      <c r="J10" s="18"/>
      <c r="K10" s="15"/>
      <c r="L10" s="15"/>
      <c r="M10" s="15"/>
      <c r="N10" s="15">
        <f t="shared" si="0"/>
        <v>0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s="119" customFormat="1" ht="14.25" customHeight="1" x14ac:dyDescent="0.25">
      <c r="A11" s="52" t="s">
        <v>212</v>
      </c>
      <c r="B11" s="52"/>
      <c r="C11" s="52"/>
      <c r="D11" s="52"/>
      <c r="E11" s="52"/>
      <c r="F11" s="52"/>
      <c r="G11" s="129">
        <f>15450+33000</f>
        <v>48450</v>
      </c>
      <c r="H11" s="129"/>
      <c r="I11" s="52"/>
      <c r="J11" s="52"/>
      <c r="K11" s="52"/>
      <c r="L11" s="52"/>
      <c r="M11" s="129"/>
      <c r="N11" s="52">
        <f t="shared" si="0"/>
        <v>48450</v>
      </c>
      <c r="O11" s="52">
        <f>Master!O12</f>
        <v>47055</v>
      </c>
      <c r="P11" s="52">
        <f>Master!P12</f>
        <v>34125</v>
      </c>
      <c r="Q11" s="52">
        <f>Master!Q12</f>
        <v>1395</v>
      </c>
      <c r="R11" s="52"/>
      <c r="S11" s="52"/>
      <c r="T11" s="52"/>
      <c r="U11" s="52"/>
      <c r="V11" s="52"/>
      <c r="W11" s="52"/>
      <c r="X11" s="52"/>
      <c r="Y11" s="52"/>
      <c r="Z11" s="52"/>
    </row>
    <row r="12" spans="1:26" s="119" customFormat="1" ht="14.25" customHeight="1" x14ac:dyDescent="0.25">
      <c r="A12" s="52" t="s">
        <v>221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>
        <f>21000</f>
        <v>21000</v>
      </c>
      <c r="M12" s="129"/>
      <c r="N12" s="52">
        <f t="shared" si="0"/>
        <v>21000</v>
      </c>
      <c r="O12" s="52">
        <f>Master!O13</f>
        <v>5200</v>
      </c>
      <c r="P12" s="52">
        <f>Master!P13</f>
        <v>35000</v>
      </c>
      <c r="Q12" s="52">
        <f>Master!Q13</f>
        <v>15800</v>
      </c>
      <c r="R12" s="52"/>
      <c r="S12" s="52"/>
      <c r="T12" s="52"/>
      <c r="U12" s="52"/>
      <c r="V12" s="52"/>
      <c r="W12" s="52"/>
      <c r="X12" s="52"/>
      <c r="Y12" s="52"/>
      <c r="Z12" s="52"/>
    </row>
    <row r="13" spans="1:26" s="119" customFormat="1" ht="14.25" customHeight="1" x14ac:dyDescent="0.25">
      <c r="A13" s="52" t="s">
        <v>36</v>
      </c>
      <c r="B13" s="52"/>
      <c r="C13" s="52"/>
      <c r="D13" s="52"/>
      <c r="E13" s="52"/>
      <c r="F13" s="52"/>
      <c r="G13" s="52"/>
      <c r="H13" s="52"/>
      <c r="I13" s="52"/>
      <c r="J13" s="52"/>
      <c r="K13" s="129">
        <v>48625</v>
      </c>
      <c r="L13" s="52"/>
      <c r="M13" s="52"/>
      <c r="N13" s="52">
        <f t="shared" si="0"/>
        <v>48625</v>
      </c>
      <c r="O13" s="52">
        <f>Master!O14</f>
        <v>47740</v>
      </c>
      <c r="P13" s="52">
        <f>Master!P14</f>
        <v>34125</v>
      </c>
      <c r="Q13" s="52">
        <f>Master!Q14</f>
        <v>885</v>
      </c>
      <c r="R13" s="52"/>
      <c r="S13" s="52"/>
      <c r="T13" s="52"/>
      <c r="U13" s="52"/>
      <c r="V13" s="52"/>
      <c r="W13" s="52"/>
      <c r="X13" s="52"/>
      <c r="Y13" s="52"/>
      <c r="Z13" s="52"/>
    </row>
    <row r="14" spans="1:26" s="119" customFormat="1" ht="14.25" customHeight="1" x14ac:dyDescent="0.25">
      <c r="A14" s="52" t="s">
        <v>37</v>
      </c>
      <c r="B14" s="52"/>
      <c r="C14" s="52"/>
      <c r="D14" s="52"/>
      <c r="E14" s="52"/>
      <c r="F14" s="129">
        <v>59500</v>
      </c>
      <c r="G14" s="52"/>
      <c r="H14" s="52"/>
      <c r="I14" s="52"/>
      <c r="J14" s="52"/>
      <c r="K14" s="52"/>
      <c r="L14" s="52"/>
      <c r="M14" s="52"/>
      <c r="N14" s="52">
        <f t="shared" si="0"/>
        <v>59500</v>
      </c>
      <c r="O14" s="52">
        <f>Master!O15</f>
        <v>0</v>
      </c>
      <c r="P14" s="52">
        <f>Master!P15</f>
        <v>59500</v>
      </c>
      <c r="Q14" s="52">
        <f>Master!Q15</f>
        <v>59500</v>
      </c>
      <c r="R14" s="52"/>
      <c r="S14" s="52"/>
      <c r="T14" s="52"/>
      <c r="U14" s="52"/>
      <c r="V14" s="52"/>
      <c r="W14" s="52"/>
      <c r="X14" s="52"/>
      <c r="Y14" s="52"/>
      <c r="Z14" s="52"/>
    </row>
    <row r="15" spans="1:26" s="119" customFormat="1" ht="14.25" customHeight="1" x14ac:dyDescent="0.25">
      <c r="A15" s="52" t="s">
        <v>38</v>
      </c>
      <c r="B15" s="52"/>
      <c r="C15" s="52"/>
      <c r="D15" s="129"/>
      <c r="E15" s="129">
        <v>11700</v>
      </c>
      <c r="F15" s="52"/>
      <c r="G15" s="52"/>
      <c r="H15" s="52"/>
      <c r="I15" s="52"/>
      <c r="J15" s="52"/>
      <c r="K15" s="52"/>
      <c r="L15" s="52"/>
      <c r="M15" s="52"/>
      <c r="N15" s="52">
        <f t="shared" si="0"/>
        <v>11700</v>
      </c>
      <c r="O15" s="52">
        <f>Master!O16</f>
        <v>0</v>
      </c>
      <c r="P15" s="52">
        <f>Master!P16</f>
        <v>7750</v>
      </c>
      <c r="Q15" s="52">
        <f>Master!Q16</f>
        <v>11700</v>
      </c>
      <c r="R15" s="52"/>
      <c r="S15" s="52"/>
      <c r="T15" s="52"/>
      <c r="U15" s="52"/>
      <c r="V15" s="52"/>
      <c r="W15" s="52"/>
      <c r="X15" s="52"/>
      <c r="Y15" s="52"/>
      <c r="Z15" s="52"/>
    </row>
    <row r="16" spans="1:26" s="119" customFormat="1" ht="14.25" customHeight="1" x14ac:dyDescent="0.25">
      <c r="A16" s="52" t="s">
        <v>39</v>
      </c>
      <c r="B16" s="129"/>
      <c r="C16" s="52">
        <f>60625</f>
        <v>60625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>
        <f t="shared" si="0"/>
        <v>60625</v>
      </c>
      <c r="O16" s="52">
        <f>Master!O17</f>
        <v>10860</v>
      </c>
      <c r="P16" s="52">
        <f>Master!P17</f>
        <v>4925</v>
      </c>
      <c r="Q16" s="52">
        <f>Master!Q17</f>
        <v>49765</v>
      </c>
      <c r="R16" s="52"/>
      <c r="S16" s="52"/>
      <c r="T16" s="52"/>
      <c r="U16" s="52"/>
      <c r="V16" s="52"/>
      <c r="W16" s="52"/>
      <c r="X16" s="52"/>
      <c r="Y16" s="52"/>
      <c r="Z16" s="52"/>
    </row>
    <row r="17" spans="1:26" s="119" customFormat="1" ht="14.25" customHeight="1" x14ac:dyDescent="0.25">
      <c r="A17" s="133" t="s">
        <v>237</v>
      </c>
      <c r="B17" s="52">
        <f>(1250)+(4*750)+(100*45)</f>
        <v>8750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>
        <f t="shared" si="0"/>
        <v>8750</v>
      </c>
      <c r="O17" s="52">
        <f>6480</f>
        <v>6480</v>
      </c>
      <c r="P17" s="52">
        <f>Master!P18</f>
        <v>0</v>
      </c>
      <c r="Q17" s="52">
        <f>N17-O17</f>
        <v>2270</v>
      </c>
      <c r="R17" s="52"/>
      <c r="S17" s="52"/>
      <c r="T17" s="52"/>
      <c r="U17" s="52"/>
      <c r="V17" s="52"/>
      <c r="W17" s="52"/>
      <c r="X17" s="52"/>
      <c r="Y17" s="52"/>
      <c r="Z17" s="52"/>
    </row>
    <row r="18" spans="1:26" s="119" customFormat="1" ht="14.25" customHeight="1" x14ac:dyDescent="0.25">
      <c r="A18" s="52" t="s">
        <v>41</v>
      </c>
      <c r="B18" s="52"/>
      <c r="C18" s="52"/>
      <c r="D18" s="52"/>
      <c r="E18" s="52"/>
      <c r="F18" s="52"/>
      <c r="G18" s="52"/>
      <c r="H18" s="52"/>
      <c r="I18" s="52"/>
      <c r="J18" s="129">
        <v>133670</v>
      </c>
      <c r="K18" s="52"/>
      <c r="L18" s="52"/>
      <c r="M18" s="52"/>
      <c r="N18" s="52">
        <f t="shared" si="0"/>
        <v>133670</v>
      </c>
      <c r="O18" s="52">
        <f>Master!O19</f>
        <v>119506</v>
      </c>
      <c r="P18" s="52">
        <f>Master!P19</f>
        <v>136795</v>
      </c>
      <c r="Q18" s="52">
        <f>Master!Q19</f>
        <v>14164</v>
      </c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4.25" hidden="1" customHeight="1" x14ac:dyDescent="0.25">
      <c r="A19" s="15" t="s">
        <v>215</v>
      </c>
      <c r="B19" s="15"/>
      <c r="C19" s="15"/>
      <c r="D19" s="15"/>
      <c r="E19" s="15"/>
      <c r="F19" s="15"/>
      <c r="G19" s="15"/>
      <c r="H19" s="15"/>
      <c r="I19" s="15"/>
      <c r="J19" s="18"/>
      <c r="K19" s="15"/>
      <c r="L19" s="15"/>
      <c r="M19" s="15"/>
      <c r="N19" s="15">
        <f t="shared" si="0"/>
        <v>0</v>
      </c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4.25" customHeight="1" x14ac:dyDescent="0.25">
      <c r="A20" s="29" t="s">
        <v>42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>
        <f t="shared" si="0"/>
        <v>0</v>
      </c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4.25" customHeight="1" x14ac:dyDescent="0.25">
      <c r="A21" s="15" t="s">
        <v>43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>
        <f t="shared" si="0"/>
        <v>0</v>
      </c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4.25" customHeight="1" x14ac:dyDescent="0.25">
      <c r="A22" s="15" t="s">
        <v>44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>
        <f t="shared" si="0"/>
        <v>0</v>
      </c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4.25" customHeight="1" x14ac:dyDescent="0.25">
      <c r="A23" s="15" t="s">
        <v>45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>
        <f t="shared" si="0"/>
        <v>0</v>
      </c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4.25" customHeight="1" x14ac:dyDescent="0.25">
      <c r="A24" s="15" t="s">
        <v>46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>
        <f t="shared" si="0"/>
        <v>0</v>
      </c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4.25" customHeight="1" x14ac:dyDescent="0.25">
      <c r="A25" s="15" t="s">
        <v>47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>
        <f t="shared" si="0"/>
        <v>0</v>
      </c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4.25" customHeight="1" x14ac:dyDescent="0.25">
      <c r="A26" s="29" t="s">
        <v>48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>
        <f t="shared" si="0"/>
        <v>0</v>
      </c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4.25" customHeight="1" x14ac:dyDescent="0.25">
      <c r="A27" s="15" t="s">
        <v>49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>
        <f t="shared" si="0"/>
        <v>0</v>
      </c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4.25" customHeight="1" x14ac:dyDescent="0.25">
      <c r="A28" s="15" t="s">
        <v>50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>
        <f t="shared" si="0"/>
        <v>0</v>
      </c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4.25" customHeight="1" x14ac:dyDescent="0.25">
      <c r="A29" s="15" t="s">
        <v>51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>
        <f t="shared" si="0"/>
        <v>0</v>
      </c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4.25" customHeight="1" x14ac:dyDescent="0.25">
      <c r="A30" s="15" t="s">
        <v>52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>
        <f t="shared" si="0"/>
        <v>0</v>
      </c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4.25" customHeight="1" x14ac:dyDescent="0.25">
      <c r="A31" s="15" t="s">
        <v>53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>
        <f t="shared" si="0"/>
        <v>0</v>
      </c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4.25" customHeight="1" x14ac:dyDescent="0.25">
      <c r="A32" s="15" t="s">
        <v>54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>
        <f t="shared" si="0"/>
        <v>0</v>
      </c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4.25" customHeight="1" x14ac:dyDescent="0.25">
      <c r="A33" s="15" t="s">
        <v>55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 t="shared" si="0"/>
        <v>0</v>
      </c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4.25" customHeight="1" x14ac:dyDescent="0.25">
      <c r="A34" s="15" t="s">
        <v>56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>
        <f t="shared" si="0"/>
        <v>0</v>
      </c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4.25" customHeight="1" x14ac:dyDescent="0.25">
      <c r="A35" s="15" t="s">
        <v>57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>
        <f t="shared" si="0"/>
        <v>0</v>
      </c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4.25" customHeight="1" x14ac:dyDescent="0.25">
      <c r="A36" s="15" t="s">
        <v>58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>
        <f t="shared" si="0"/>
        <v>0</v>
      </c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4.25" customHeight="1" x14ac:dyDescent="0.25">
      <c r="A37" s="15" t="s">
        <v>59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>
        <f t="shared" si="0"/>
        <v>0</v>
      </c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4.25" customHeight="1" x14ac:dyDescent="0.25">
      <c r="A38" s="15" t="s">
        <v>60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>
        <f t="shared" si="0"/>
        <v>0</v>
      </c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4.25" customHeight="1" x14ac:dyDescent="0.25">
      <c r="A39" s="15" t="s">
        <v>61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>
        <f t="shared" si="0"/>
        <v>0</v>
      </c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4.25" customHeight="1" x14ac:dyDescent="0.25">
      <c r="A40" s="15" t="s">
        <v>62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>
        <f t="shared" si="0"/>
        <v>0</v>
      </c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4.25" customHeight="1" x14ac:dyDescent="0.25">
      <c r="A41" s="15" t="s">
        <v>63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>
        <f t="shared" si="0"/>
        <v>0</v>
      </c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4.25" customHeight="1" x14ac:dyDescent="0.25">
      <c r="A42" s="29" t="s">
        <v>64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>
        <f t="shared" si="0"/>
        <v>0</v>
      </c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4.25" customHeight="1" x14ac:dyDescent="0.25">
      <c r="A43" s="15" t="s">
        <v>65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>
        <f t="shared" si="0"/>
        <v>0</v>
      </c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4.25" customHeight="1" x14ac:dyDescent="0.25">
      <c r="A44" s="15" t="s">
        <v>66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>
        <f t="shared" si="0"/>
        <v>0</v>
      </c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4.25" customHeight="1" x14ac:dyDescent="0.25">
      <c r="A45" s="15" t="s">
        <v>67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>
        <f t="shared" si="0"/>
        <v>0</v>
      </c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4.25" customHeight="1" x14ac:dyDescent="0.25">
      <c r="A46" s="15" t="s">
        <v>68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>
        <f t="shared" si="0"/>
        <v>0</v>
      </c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4.25" customHeight="1" x14ac:dyDescent="0.25">
      <c r="A47" s="15" t="s">
        <v>69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>
        <f t="shared" si="0"/>
        <v>0</v>
      </c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4.25" customHeight="1" x14ac:dyDescent="0.25">
      <c r="A48" s="15" t="s">
        <v>70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>
        <f t="shared" si="0"/>
        <v>0</v>
      </c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4.25" customHeight="1" x14ac:dyDescent="0.25">
      <c r="A49" s="15" t="s">
        <v>71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>
        <f t="shared" si="0"/>
        <v>0</v>
      </c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4.25" customHeight="1" x14ac:dyDescent="0.25">
      <c r="A50" s="15" t="s">
        <v>72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>
        <f t="shared" si="0"/>
        <v>0</v>
      </c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4.25" customHeight="1" x14ac:dyDescent="0.25">
      <c r="A51" s="15" t="s">
        <v>73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>
        <f t="shared" si="0"/>
        <v>0</v>
      </c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4.25" customHeight="1" x14ac:dyDescent="0.25">
      <c r="A52" s="15" t="s">
        <v>74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>
        <f t="shared" si="0"/>
        <v>0</v>
      </c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4.25" customHeight="1" x14ac:dyDescent="0.25">
      <c r="A53" s="15" t="s">
        <v>75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>
        <f t="shared" si="0"/>
        <v>0</v>
      </c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4.25" customHeight="1" x14ac:dyDescent="0.25">
      <c r="A54" s="29" t="s">
        <v>76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>
        <f t="shared" si="0"/>
        <v>0</v>
      </c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4.25" customHeight="1" x14ac:dyDescent="0.25">
      <c r="A55" s="15" t="s">
        <v>77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>
        <f t="shared" si="0"/>
        <v>0</v>
      </c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4.25" customHeight="1" x14ac:dyDescent="0.25">
      <c r="A56" s="15" t="s">
        <v>78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>
        <f t="shared" si="0"/>
        <v>0</v>
      </c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4.25" customHeight="1" x14ac:dyDescent="0.25">
      <c r="A57" s="15" t="s">
        <v>79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>
        <f t="shared" si="0"/>
        <v>0</v>
      </c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4.25" customHeight="1" x14ac:dyDescent="0.25">
      <c r="A58" s="15" t="s">
        <v>80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>
        <f t="shared" si="0"/>
        <v>0</v>
      </c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4.25" customHeight="1" x14ac:dyDescent="0.25">
      <c r="A59" s="15" t="s">
        <v>81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>
        <f t="shared" si="0"/>
        <v>0</v>
      </c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4.25" customHeight="1" x14ac:dyDescent="0.25">
      <c r="A60" s="15" t="s">
        <v>82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>
        <f t="shared" si="0"/>
        <v>0</v>
      </c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4.25" customHeight="1" x14ac:dyDescent="0.25">
      <c r="A61" s="15" t="s">
        <v>83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>
        <f t="shared" si="0"/>
        <v>0</v>
      </c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4.25" customHeight="1" x14ac:dyDescent="0.25">
      <c r="A62" s="15" t="s">
        <v>84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>
        <f t="shared" si="0"/>
        <v>0</v>
      </c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4.25" customHeight="1" x14ac:dyDescent="0.25">
      <c r="A63" s="15" t="s">
        <v>85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>
        <f t="shared" si="0"/>
        <v>0</v>
      </c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4.25" customHeight="1" x14ac:dyDescent="0.25">
      <c r="A64" s="15" t="s">
        <v>86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>
        <f t="shared" si="0"/>
        <v>0</v>
      </c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4.25" customHeight="1" x14ac:dyDescent="0.25">
      <c r="A65" s="15" t="s">
        <v>87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>
        <f t="shared" si="0"/>
        <v>0</v>
      </c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4.25" customHeight="1" x14ac:dyDescent="0.25">
      <c r="A66" s="15" t="s">
        <v>88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>
        <f t="shared" si="0"/>
        <v>0</v>
      </c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4.25" customHeight="1" x14ac:dyDescent="0.25">
      <c r="A67" s="15" t="s">
        <v>89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>
        <f t="shared" si="0"/>
        <v>0</v>
      </c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4.25" customHeight="1" x14ac:dyDescent="0.25">
      <c r="A68" s="15" t="s">
        <v>90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>
        <f t="shared" si="0"/>
        <v>0</v>
      </c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4.25" customHeight="1" x14ac:dyDescent="0.25">
      <c r="A69" s="15" t="s">
        <v>91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>
        <f t="shared" si="0"/>
        <v>0</v>
      </c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4.25" customHeight="1" x14ac:dyDescent="0.25">
      <c r="A70" s="15" t="s">
        <v>92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>
        <f t="shared" si="0"/>
        <v>0</v>
      </c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4.25" customHeight="1" x14ac:dyDescent="0.25">
      <c r="A71" s="15" t="s">
        <v>93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>
        <f t="shared" si="0"/>
        <v>0</v>
      </c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4.25" customHeight="1" x14ac:dyDescent="0.25">
      <c r="A72" s="15" t="s">
        <v>94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>
        <f t="shared" si="0"/>
        <v>0</v>
      </c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4.25" customHeight="1" x14ac:dyDescent="0.25">
      <c r="A73" s="15" t="s">
        <v>95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>
        <f t="shared" si="0"/>
        <v>0</v>
      </c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4.25" customHeight="1" x14ac:dyDescent="0.25">
      <c r="A74" s="15" t="s">
        <v>96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>
        <f t="shared" si="0"/>
        <v>0</v>
      </c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4.25" customHeight="1" x14ac:dyDescent="0.25">
      <c r="A75" s="15" t="s">
        <v>97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>
        <f t="shared" si="0"/>
        <v>0</v>
      </c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4.25" customHeight="1" x14ac:dyDescent="0.25">
      <c r="A76" s="15" t="s">
        <v>98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>
        <f t="shared" si="0"/>
        <v>0</v>
      </c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4.25" customHeight="1" x14ac:dyDescent="0.25">
      <c r="A77" s="15" t="s">
        <v>99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>
        <f t="shared" si="0"/>
        <v>0</v>
      </c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4.25" customHeight="1" x14ac:dyDescent="0.25">
      <c r="A78" s="15" t="s">
        <v>100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>
        <f t="shared" si="0"/>
        <v>0</v>
      </c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4.25" customHeight="1" x14ac:dyDescent="0.25">
      <c r="A79" s="15" t="s">
        <v>101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>
        <f t="shared" si="0"/>
        <v>0</v>
      </c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4.25" customHeight="1" x14ac:dyDescent="0.25">
      <c r="A80" s="15" t="s">
        <v>102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>
        <f t="shared" si="0"/>
        <v>0</v>
      </c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4.25" customHeight="1" x14ac:dyDescent="0.25">
      <c r="A81" s="15" t="s">
        <v>103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>
        <f t="shared" si="0"/>
        <v>0</v>
      </c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4.25" customHeight="1" x14ac:dyDescent="0.25">
      <c r="A82" s="15" t="s">
        <v>104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>
        <f t="shared" si="0"/>
        <v>0</v>
      </c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4.25" customHeight="1" x14ac:dyDescent="0.25">
      <c r="A83" s="15" t="s">
        <v>105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>
        <f t="shared" si="0"/>
        <v>0</v>
      </c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4.25" customHeight="1" x14ac:dyDescent="0.25">
      <c r="A84" s="15" t="s">
        <v>106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>
        <f t="shared" si="0"/>
        <v>0</v>
      </c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4.25" customHeight="1" x14ac:dyDescent="0.25">
      <c r="A85" s="15" t="s">
        <v>107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>
        <f t="shared" si="0"/>
        <v>0</v>
      </c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4.25" customHeight="1" x14ac:dyDescent="0.25">
      <c r="A86" s="15" t="s">
        <v>108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>
        <f t="shared" si="0"/>
        <v>0</v>
      </c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4.25" customHeight="1" x14ac:dyDescent="0.25">
      <c r="A87" s="15" t="s">
        <v>109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>
        <f t="shared" si="0"/>
        <v>0</v>
      </c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4.25" customHeight="1" x14ac:dyDescent="0.25">
      <c r="A88" s="15" t="s">
        <v>110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>
        <f t="shared" si="0"/>
        <v>0</v>
      </c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4.25" customHeight="1" x14ac:dyDescent="0.25">
      <c r="A89" s="15" t="s">
        <v>111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>
        <f t="shared" si="0"/>
        <v>0</v>
      </c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4.25" customHeight="1" x14ac:dyDescent="0.25">
      <c r="A90" s="15" t="s">
        <v>112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>
        <f t="shared" si="0"/>
        <v>0</v>
      </c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4.25" customHeight="1" x14ac:dyDescent="0.25">
      <c r="A91" s="15" t="s">
        <v>113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>
        <f t="shared" si="0"/>
        <v>0</v>
      </c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4.25" customHeight="1" x14ac:dyDescent="0.25">
      <c r="A92" s="15" t="s">
        <v>114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>
        <f t="shared" si="0"/>
        <v>0</v>
      </c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4.25" customHeight="1" x14ac:dyDescent="0.25">
      <c r="A93" s="15" t="s">
        <v>115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>
        <f t="shared" si="0"/>
        <v>0</v>
      </c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4.25" customHeight="1" x14ac:dyDescent="0.25">
      <c r="A94" s="15" t="s">
        <v>116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>
        <f t="shared" si="0"/>
        <v>0</v>
      </c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4.25" customHeight="1" x14ac:dyDescent="0.25">
      <c r="A95" s="15" t="s">
        <v>117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>
        <f t="shared" si="0"/>
        <v>0</v>
      </c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4.25" customHeight="1" x14ac:dyDescent="0.25">
      <c r="A96" s="15" t="s">
        <v>118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>
        <f t="shared" si="0"/>
        <v>0</v>
      </c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4.25" customHeight="1" x14ac:dyDescent="0.25">
      <c r="A97" s="15" t="s">
        <v>119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>
        <f t="shared" si="0"/>
        <v>0</v>
      </c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4.25" customHeight="1" x14ac:dyDescent="0.25">
      <c r="A98" s="15" t="s">
        <v>120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>
        <f t="shared" si="0"/>
        <v>0</v>
      </c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4.25" customHeight="1" x14ac:dyDescent="0.25">
      <c r="A99" s="15" t="s">
        <v>121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>
        <f t="shared" si="0"/>
        <v>0</v>
      </c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4.25" customHeight="1" x14ac:dyDescent="0.25">
      <c r="A100" s="29" t="s">
        <v>122</v>
      </c>
      <c r="B100" s="5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>
        <f t="shared" si="0"/>
        <v>0</v>
      </c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4.25" customHeight="1" x14ac:dyDescent="0.25">
      <c r="A101" s="15" t="s">
        <v>123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>
        <f t="shared" si="0"/>
        <v>0</v>
      </c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4.25" customHeight="1" x14ac:dyDescent="0.25">
      <c r="A102" s="15" t="s">
        <v>124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>
        <f t="shared" si="0"/>
        <v>0</v>
      </c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4.25" customHeight="1" x14ac:dyDescent="0.25">
      <c r="A103" s="15" t="s">
        <v>125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>
        <f t="shared" si="0"/>
        <v>0</v>
      </c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s="57" customFormat="1" ht="14.25" customHeight="1" x14ac:dyDescent="0.25">
      <c r="A104" s="55" t="s">
        <v>126</v>
      </c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>
        <f t="shared" si="0"/>
        <v>0</v>
      </c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</row>
    <row r="105" spans="1:26" ht="14.25" customHeight="1" x14ac:dyDescent="0.25">
      <c r="A105" s="15" t="s">
        <v>127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>
        <f t="shared" si="0"/>
        <v>0</v>
      </c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4.25" customHeight="1" x14ac:dyDescent="0.25">
      <c r="A106" s="29" t="s">
        <v>128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>
        <f t="shared" si="0"/>
        <v>0</v>
      </c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s="119" customFormat="1" ht="14.25" customHeight="1" x14ac:dyDescent="0.25">
      <c r="A107" s="52" t="s">
        <v>129</v>
      </c>
      <c r="B107" s="129"/>
      <c r="C107" s="129"/>
      <c r="D107" s="129">
        <v>6075</v>
      </c>
      <c r="E107" s="52"/>
      <c r="F107" s="52"/>
      <c r="G107" s="129"/>
      <c r="H107" s="129">
        <v>6075</v>
      </c>
      <c r="I107" s="52"/>
      <c r="K107" s="129"/>
      <c r="L107" s="52"/>
      <c r="M107" s="52"/>
      <c r="N107" s="52">
        <f>SUM(B107:M107)</f>
        <v>12150</v>
      </c>
      <c r="O107" s="52">
        <f>Master!O118</f>
        <v>5900</v>
      </c>
      <c r="P107" s="52">
        <f>Master!P118</f>
        <v>6220</v>
      </c>
      <c r="Q107" s="52">
        <f>Master!Q118</f>
        <v>6250</v>
      </c>
      <c r="R107" s="52"/>
      <c r="S107" s="52"/>
      <c r="T107" s="52"/>
      <c r="U107" s="52"/>
      <c r="V107" s="52"/>
      <c r="W107" s="52"/>
      <c r="X107" s="52"/>
      <c r="Y107" s="52"/>
      <c r="Z107" s="52"/>
    </row>
    <row r="108" spans="1:26" s="119" customFormat="1" ht="14.25" customHeight="1" x14ac:dyDescent="0.25">
      <c r="A108" s="52" t="s">
        <v>213</v>
      </c>
      <c r="B108" s="52"/>
      <c r="C108" s="52"/>
      <c r="D108" s="52"/>
      <c r="E108" s="52"/>
      <c r="F108" s="52"/>
      <c r="G108" s="129">
        <f>26247.31</f>
        <v>26247.31</v>
      </c>
      <c r="H108" s="129"/>
      <c r="I108" s="52"/>
      <c r="J108" s="52"/>
      <c r="K108" s="52"/>
      <c r="L108" s="52"/>
      <c r="M108" s="52"/>
      <c r="N108" s="52">
        <f t="shared" ref="N108:N131" si="1">SUM(B108:M108)</f>
        <v>26247.31</v>
      </c>
      <c r="O108" s="52">
        <f>Master!O119</f>
        <v>28920</v>
      </c>
      <c r="P108" s="52">
        <f>Master!P119</f>
        <v>25460</v>
      </c>
      <c r="Q108" s="52">
        <f>Master!Q119</f>
        <v>-2672.6899999999987</v>
      </c>
      <c r="R108" s="52"/>
      <c r="S108" s="52"/>
      <c r="T108" s="52"/>
      <c r="U108" s="52"/>
      <c r="V108" s="52"/>
      <c r="W108" s="52"/>
      <c r="X108" s="52"/>
      <c r="Y108" s="52"/>
      <c r="Z108" s="52"/>
    </row>
    <row r="109" spans="1:26" s="119" customFormat="1" ht="14.25" customHeight="1" x14ac:dyDescent="0.25">
      <c r="A109" s="133" t="s">
        <v>235</v>
      </c>
      <c r="B109" s="52"/>
      <c r="C109" s="52"/>
      <c r="D109" s="52"/>
      <c r="E109" s="52"/>
      <c r="F109" s="52"/>
      <c r="G109" s="52"/>
      <c r="H109" s="52"/>
      <c r="I109" s="52"/>
      <c r="J109" s="52"/>
      <c r="K109" s="129">
        <f>25955</f>
        <v>25955</v>
      </c>
      <c r="L109" s="52"/>
      <c r="M109" s="52"/>
      <c r="N109" s="52">
        <f t="shared" si="1"/>
        <v>25955</v>
      </c>
      <c r="O109" s="52">
        <f>Master!O120</f>
        <v>13321.58</v>
      </c>
      <c r="P109" s="52">
        <f>Master!P120</f>
        <v>22985</v>
      </c>
      <c r="Q109" s="52">
        <f>Master!Q120</f>
        <v>12633.42</v>
      </c>
      <c r="R109" s="52"/>
      <c r="S109" s="52"/>
      <c r="T109" s="52"/>
      <c r="U109" s="52"/>
      <c r="V109" s="52"/>
      <c r="W109" s="52"/>
      <c r="X109" s="52"/>
      <c r="Y109" s="52"/>
      <c r="Z109" s="52"/>
    </row>
    <row r="110" spans="1:26" s="119" customFormat="1" ht="14.25" customHeight="1" x14ac:dyDescent="0.25">
      <c r="A110" s="52" t="s">
        <v>132</v>
      </c>
      <c r="B110" s="52"/>
      <c r="C110" s="52"/>
      <c r="D110" s="52"/>
      <c r="E110" s="52"/>
      <c r="F110" s="129">
        <f>29031.36</f>
        <v>29031.360000000001</v>
      </c>
      <c r="G110" s="52"/>
      <c r="H110" s="52"/>
      <c r="I110" s="52"/>
      <c r="J110" s="52"/>
      <c r="K110" s="52"/>
      <c r="L110" s="52"/>
      <c r="M110" s="52"/>
      <c r="N110" s="52">
        <f t="shared" si="1"/>
        <v>29031.360000000001</v>
      </c>
      <c r="O110" s="52">
        <f>Master!O121</f>
        <v>-648.84</v>
      </c>
      <c r="P110" s="52">
        <f>Master!P121</f>
        <v>29031</v>
      </c>
      <c r="Q110" s="52">
        <f>Master!Q121</f>
        <v>29680.2</v>
      </c>
      <c r="R110" s="52"/>
      <c r="S110" s="52"/>
      <c r="T110" s="52"/>
      <c r="U110" s="52"/>
      <c r="V110" s="52"/>
      <c r="W110" s="52"/>
      <c r="X110" s="52"/>
      <c r="Y110" s="52"/>
      <c r="Z110" s="52"/>
    </row>
    <row r="111" spans="1:26" s="119" customFormat="1" ht="14.25" customHeight="1" x14ac:dyDescent="0.25">
      <c r="A111" s="52" t="s">
        <v>133</v>
      </c>
      <c r="B111" s="52"/>
      <c r="C111" s="52"/>
      <c r="D111" s="129"/>
      <c r="E111" s="129">
        <f>10586.25</f>
        <v>10586.25</v>
      </c>
      <c r="F111" s="52"/>
      <c r="G111" s="52"/>
      <c r="H111" s="52"/>
      <c r="I111" s="52"/>
      <c r="J111" s="52"/>
      <c r="K111" s="52"/>
      <c r="L111" s="52"/>
      <c r="M111" s="52"/>
      <c r="N111" s="52">
        <f t="shared" si="1"/>
        <v>10586.25</v>
      </c>
      <c r="O111" s="52">
        <f>Master!O122</f>
        <v>0</v>
      </c>
      <c r="P111" s="52">
        <f>Master!P122</f>
        <v>7098</v>
      </c>
      <c r="Q111" s="52">
        <f>Master!Q122</f>
        <v>10586.25</v>
      </c>
      <c r="R111" s="52"/>
      <c r="S111" s="52"/>
      <c r="T111" s="52"/>
      <c r="U111" s="52"/>
      <c r="V111" s="52"/>
      <c r="W111" s="52"/>
      <c r="X111" s="52"/>
      <c r="Y111" s="52"/>
      <c r="Z111" s="52"/>
    </row>
    <row r="112" spans="1:26" s="119" customFormat="1" ht="14.25" customHeight="1" x14ac:dyDescent="0.25">
      <c r="A112" s="52" t="s">
        <v>134</v>
      </c>
      <c r="B112" s="129"/>
      <c r="C112" s="52">
        <f>58484.25</f>
        <v>58484.25</v>
      </c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>
        <f t="shared" si="1"/>
        <v>58484.25</v>
      </c>
      <c r="O112" s="52">
        <f>Master!O123</f>
        <v>16418.8</v>
      </c>
      <c r="P112" s="52">
        <f>Master!P123</f>
        <v>4175</v>
      </c>
      <c r="Q112" s="52">
        <f>Master!Q123</f>
        <v>42065.45</v>
      </c>
      <c r="R112" s="52"/>
      <c r="S112" s="52"/>
      <c r="T112" s="52"/>
      <c r="U112" s="52"/>
      <c r="V112" s="52"/>
      <c r="W112" s="52"/>
      <c r="X112" s="52"/>
      <c r="Y112" s="52"/>
      <c r="Z112" s="52"/>
    </row>
    <row r="113" spans="1:26" s="119" customFormat="1" ht="14.25" customHeight="1" x14ac:dyDescent="0.25">
      <c r="A113" s="52" t="s">
        <v>222</v>
      </c>
      <c r="B113" s="129"/>
      <c r="C113" s="52"/>
      <c r="D113" s="52"/>
      <c r="E113" s="52"/>
      <c r="F113" s="52"/>
      <c r="G113" s="52"/>
      <c r="H113" s="52"/>
      <c r="I113" s="52"/>
      <c r="J113" s="52"/>
      <c r="K113" s="52"/>
      <c r="L113" s="52">
        <f>21720</f>
        <v>21720</v>
      </c>
      <c r="M113" s="129"/>
      <c r="N113" s="52">
        <f t="shared" si="1"/>
        <v>21720</v>
      </c>
      <c r="O113" s="52">
        <f>Master!O124</f>
        <v>10885</v>
      </c>
      <c r="P113" s="52">
        <f>Master!P124</f>
        <v>34729</v>
      </c>
      <c r="Q113" s="52">
        <f>Master!Q124</f>
        <v>10835</v>
      </c>
      <c r="R113" s="52"/>
      <c r="S113" s="52"/>
      <c r="T113" s="52"/>
      <c r="U113" s="52"/>
      <c r="V113" s="52"/>
      <c r="W113" s="52"/>
      <c r="X113" s="52"/>
      <c r="Y113" s="52"/>
      <c r="Z113" s="52"/>
    </row>
    <row r="114" spans="1:26" s="119" customFormat="1" ht="14.25" customHeight="1" x14ac:dyDescent="0.25">
      <c r="A114" s="133" t="s">
        <v>237</v>
      </c>
      <c r="B114" s="52">
        <f>(250+2500)</f>
        <v>2750</v>
      </c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>
        <f t="shared" si="1"/>
        <v>2750</v>
      </c>
      <c r="O114" s="52">
        <f>202.99</f>
        <v>202.99</v>
      </c>
      <c r="P114" s="52">
        <f>Master!P125</f>
        <v>0</v>
      </c>
      <c r="Q114" s="52">
        <f>N114-O114</f>
        <v>2547.0100000000002</v>
      </c>
      <c r="R114" s="52"/>
      <c r="S114" s="52"/>
      <c r="T114" s="52"/>
      <c r="U114" s="52"/>
      <c r="V114" s="52"/>
      <c r="W114" s="52"/>
      <c r="X114" s="52"/>
      <c r="Y114" s="52"/>
      <c r="Z114" s="52"/>
    </row>
    <row r="115" spans="1:26" s="119" customFormat="1" ht="14.25" customHeight="1" x14ac:dyDescent="0.25">
      <c r="A115" s="52" t="s">
        <v>136</v>
      </c>
      <c r="B115" s="52"/>
      <c r="C115" s="52"/>
      <c r="D115" s="52"/>
      <c r="E115" s="52"/>
      <c r="F115" s="52"/>
      <c r="G115" s="52"/>
      <c r="H115" s="52"/>
      <c r="I115" s="52"/>
      <c r="J115" s="129">
        <f>72125</f>
        <v>72125</v>
      </c>
      <c r="K115" s="52"/>
      <c r="L115" s="52"/>
      <c r="M115" s="52"/>
      <c r="N115" s="52">
        <f t="shared" si="1"/>
        <v>72125</v>
      </c>
      <c r="O115" s="52">
        <f>Master!O126</f>
        <v>38351.589999999997</v>
      </c>
      <c r="P115" s="52">
        <f>Master!P126</f>
        <v>72125</v>
      </c>
      <c r="Q115" s="52">
        <f>Master!Q126</f>
        <v>33773.410000000003</v>
      </c>
      <c r="R115" s="52"/>
      <c r="S115" s="52"/>
      <c r="T115" s="52"/>
      <c r="U115" s="52"/>
      <c r="V115" s="52"/>
      <c r="W115" s="52"/>
      <c r="X115" s="52"/>
      <c r="Y115" s="52"/>
      <c r="Z115" s="52"/>
    </row>
    <row r="116" spans="1:26" ht="14.25" hidden="1" customHeight="1" x14ac:dyDescent="0.25">
      <c r="A116" s="15" t="s">
        <v>137</v>
      </c>
      <c r="B116" s="18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>
        <f t="shared" si="1"/>
        <v>0</v>
      </c>
      <c r="O116" s="52">
        <f>Master!O127</f>
        <v>0</v>
      </c>
      <c r="P116" s="52">
        <f>Master!P127</f>
        <v>0</v>
      </c>
      <c r="Q116" s="52">
        <f>Master!Q127</f>
        <v>0</v>
      </c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4.25" hidden="1" customHeight="1" x14ac:dyDescent="0.25">
      <c r="A117" s="15" t="s">
        <v>214</v>
      </c>
      <c r="B117" s="18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>
        <f t="shared" si="1"/>
        <v>0</v>
      </c>
      <c r="O117" s="52">
        <f>Master!O128</f>
        <v>113351.12000000001</v>
      </c>
      <c r="P117" s="52">
        <f>Master!P128</f>
        <v>201823</v>
      </c>
      <c r="Q117" s="52">
        <f>Master!Q128</f>
        <v>145698.04999999999</v>
      </c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4.25" customHeight="1" x14ac:dyDescent="0.25">
      <c r="A118" s="29" t="s">
        <v>138</v>
      </c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>
        <f t="shared" si="1"/>
        <v>0</v>
      </c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4.25" customHeight="1" x14ac:dyDescent="0.25">
      <c r="A119" s="15" t="s">
        <v>139</v>
      </c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>
        <f t="shared" si="1"/>
        <v>0</v>
      </c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4.25" customHeight="1" x14ac:dyDescent="0.25">
      <c r="A120" s="15" t="s">
        <v>140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>
        <f t="shared" si="1"/>
        <v>0</v>
      </c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4.25" customHeight="1" x14ac:dyDescent="0.25">
      <c r="A121" s="15" t="s">
        <v>141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>
        <f t="shared" si="1"/>
        <v>0</v>
      </c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4.25" customHeight="1" x14ac:dyDescent="0.25">
      <c r="A122" s="15" t="s">
        <v>142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>
        <f t="shared" si="1"/>
        <v>0</v>
      </c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4.25" customHeight="1" x14ac:dyDescent="0.25">
      <c r="A123" s="15" t="s">
        <v>143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>
        <f t="shared" si="1"/>
        <v>0</v>
      </c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4.25" customHeight="1" x14ac:dyDescent="0.25">
      <c r="A124" s="15" t="s">
        <v>144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>
        <f t="shared" si="1"/>
        <v>0</v>
      </c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4.25" customHeight="1" x14ac:dyDescent="0.25">
      <c r="A125" s="15" t="s">
        <v>145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>
        <f t="shared" si="1"/>
        <v>0</v>
      </c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4.25" customHeight="1" x14ac:dyDescent="0.25">
      <c r="A126" s="15" t="s">
        <v>146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>
        <f t="shared" si="1"/>
        <v>0</v>
      </c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4.25" customHeight="1" x14ac:dyDescent="0.25">
      <c r="A127" s="15" t="s">
        <v>147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>
        <f t="shared" si="1"/>
        <v>0</v>
      </c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4.25" customHeight="1" x14ac:dyDescent="0.25">
      <c r="A128" s="15" t="s">
        <v>148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>
        <f t="shared" si="1"/>
        <v>0</v>
      </c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4.25" customHeight="1" x14ac:dyDescent="0.25">
      <c r="A129" s="15" t="s">
        <v>149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>
        <f t="shared" si="1"/>
        <v>0</v>
      </c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4.25" customHeight="1" x14ac:dyDescent="0.25">
      <c r="A130" s="15" t="s">
        <v>150</v>
      </c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>
        <f t="shared" si="1"/>
        <v>0</v>
      </c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4.25" customHeight="1" x14ac:dyDescent="0.25">
      <c r="A131" s="15" t="s">
        <v>151</v>
      </c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>
        <f t="shared" si="1"/>
        <v>0</v>
      </c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4.25" customHeight="1" x14ac:dyDescent="0.25">
      <c r="A132" s="31" t="s">
        <v>217</v>
      </c>
      <c r="B132" s="31">
        <f>B11+B12+B13+B14+B15+B16+B17+B18</f>
        <v>8750</v>
      </c>
      <c r="C132" s="31">
        <f t="shared" ref="C132:N132" si="2">C11+C12+C13+C14+C15+C16+C17+C18</f>
        <v>60625</v>
      </c>
      <c r="D132" s="31">
        <f t="shared" si="2"/>
        <v>0</v>
      </c>
      <c r="E132" s="31">
        <f t="shared" si="2"/>
        <v>11700</v>
      </c>
      <c r="F132" s="31">
        <f t="shared" si="2"/>
        <v>59500</v>
      </c>
      <c r="G132" s="31">
        <f t="shared" si="2"/>
        <v>48450</v>
      </c>
      <c r="H132" s="31">
        <f t="shared" si="2"/>
        <v>0</v>
      </c>
      <c r="I132" s="31">
        <f t="shared" si="2"/>
        <v>0</v>
      </c>
      <c r="J132" s="31">
        <f t="shared" si="2"/>
        <v>133670</v>
      </c>
      <c r="K132" s="31">
        <f t="shared" si="2"/>
        <v>48625</v>
      </c>
      <c r="L132" s="31">
        <f t="shared" si="2"/>
        <v>21000</v>
      </c>
      <c r="M132" s="31">
        <f t="shared" si="2"/>
        <v>0</v>
      </c>
      <c r="N132" s="31">
        <f t="shared" si="2"/>
        <v>392320</v>
      </c>
      <c r="O132" s="31">
        <f>O11+O12+O13+O14+O15+O16+O17+O18</f>
        <v>236841</v>
      </c>
      <c r="P132" s="31">
        <f>P11+P12+P13+P14+P15+P16+P17+P18</f>
        <v>312220</v>
      </c>
      <c r="Q132" s="31">
        <f>N132-O132</f>
        <v>155479</v>
      </c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4.25" customHeight="1" x14ac:dyDescent="0.25">
      <c r="A133" s="31" t="s">
        <v>218</v>
      </c>
      <c r="B133" s="31">
        <f>B107+B108+B109+B110+B111+B112+B113+B114+B115</f>
        <v>2750</v>
      </c>
      <c r="C133" s="31">
        <f t="shared" ref="C133:P133" si="3">C107+C108+C109+C110+C111+C112+C113+C114+C115</f>
        <v>58484.25</v>
      </c>
      <c r="D133" s="31">
        <f t="shared" si="3"/>
        <v>6075</v>
      </c>
      <c r="E133" s="31">
        <f t="shared" si="3"/>
        <v>10586.25</v>
      </c>
      <c r="F133" s="31">
        <f t="shared" si="3"/>
        <v>29031.360000000001</v>
      </c>
      <c r="G133" s="31">
        <f t="shared" si="3"/>
        <v>26247.31</v>
      </c>
      <c r="H133" s="31">
        <f t="shared" si="3"/>
        <v>6075</v>
      </c>
      <c r="I133" s="31">
        <f t="shared" si="3"/>
        <v>0</v>
      </c>
      <c r="J133" s="31">
        <f t="shared" si="3"/>
        <v>72125</v>
      </c>
      <c r="K133" s="31">
        <f t="shared" si="3"/>
        <v>25955</v>
      </c>
      <c r="L133" s="31">
        <f t="shared" si="3"/>
        <v>21720</v>
      </c>
      <c r="M133" s="31">
        <f t="shared" si="3"/>
        <v>0</v>
      </c>
      <c r="N133" s="31">
        <f t="shared" si="3"/>
        <v>259049.16999999998</v>
      </c>
      <c r="O133" s="31">
        <f t="shared" si="3"/>
        <v>113351.12000000001</v>
      </c>
      <c r="P133" s="31">
        <f t="shared" si="3"/>
        <v>201823</v>
      </c>
      <c r="Q133" s="31">
        <f>N133-O133</f>
        <v>145698.04999999999</v>
      </c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4.25" customHeight="1" x14ac:dyDescent="0.25">
      <c r="A134" s="31" t="s">
        <v>219</v>
      </c>
      <c r="B134" s="31">
        <f>B132-B133</f>
        <v>6000</v>
      </c>
      <c r="C134" s="31">
        <f t="shared" ref="C134:N134" si="4">C132-C133</f>
        <v>2140.75</v>
      </c>
      <c r="D134" s="31">
        <f t="shared" si="4"/>
        <v>-6075</v>
      </c>
      <c r="E134" s="31">
        <f t="shared" si="4"/>
        <v>1113.75</v>
      </c>
      <c r="F134" s="31">
        <f t="shared" si="4"/>
        <v>30468.639999999999</v>
      </c>
      <c r="G134" s="31">
        <f t="shared" si="4"/>
        <v>22202.69</v>
      </c>
      <c r="H134" s="31">
        <f t="shared" si="4"/>
        <v>-6075</v>
      </c>
      <c r="I134" s="31">
        <f t="shared" si="4"/>
        <v>0</v>
      </c>
      <c r="J134" s="31">
        <f t="shared" si="4"/>
        <v>61545</v>
      </c>
      <c r="K134" s="31">
        <f t="shared" si="4"/>
        <v>22670</v>
      </c>
      <c r="L134" s="31">
        <f t="shared" si="4"/>
        <v>-720</v>
      </c>
      <c r="M134" s="31">
        <f t="shared" si="4"/>
        <v>0</v>
      </c>
      <c r="N134" s="31">
        <f t="shared" si="4"/>
        <v>133270.83000000002</v>
      </c>
      <c r="O134" s="31">
        <f t="shared" ref="O134" si="5">O132-O133</f>
        <v>123489.87999999999</v>
      </c>
      <c r="P134" s="31">
        <f t="shared" ref="P134" si="6">P132-P133</f>
        <v>110397</v>
      </c>
      <c r="Q134" s="31">
        <f>N134-O134</f>
        <v>9780.9500000000262</v>
      </c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4.25" customHeight="1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4.25" customHeight="1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4.25" customHeight="1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4.25" customHeight="1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4.25" customHeight="1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4.25" customHeight="1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4.25" customHeight="1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4.25" customHeight="1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4.25" customHeight="1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4.25" customHeight="1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4.25" customHeight="1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4.25" customHeight="1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4.25" customHeight="1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4.25" customHeight="1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4.25" customHeight="1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4.25" customHeight="1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4.25" customHeight="1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4.25" customHeight="1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4.25" customHeight="1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4.25" customHeight="1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4.25" customHeight="1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4.25" customHeight="1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4.25" customHeight="1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4.25" customHeight="1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4.25" customHeight="1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4.25" customHeight="1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4.25" customHeight="1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4.25" customHeight="1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4.25" customHeight="1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4.25" customHeight="1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4.25" customHeight="1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4.25" customHeight="1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4.25" customHeight="1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4.25" customHeight="1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4.25" customHeight="1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4.25" customHeight="1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4.25" customHeight="1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4.25" customHeight="1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4.25" customHeight="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4.25" customHeight="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4.25" customHeight="1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4.25" customHeight="1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4.25" customHeight="1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4.25" customHeight="1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4.25" customHeight="1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4.25" customHeight="1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4.25" customHeight="1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4.25" customHeight="1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4.25" customHeight="1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4.25" customHeight="1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4.25" customHeight="1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4.25" customHeight="1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4.25" customHeight="1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4.25" customHeight="1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4.25" customHeight="1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4.25" customHeight="1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4.25" customHeight="1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4.25" customHeight="1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4.25" customHeight="1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4.25" customHeight="1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4.25" customHeight="1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4.25" customHeight="1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4.25" customHeight="1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4.25" customHeight="1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4.25" customHeight="1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4.25" customHeight="1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4.25" customHeight="1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4.25" customHeight="1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4.25" customHeight="1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4.25" customHeight="1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4.25" customHeight="1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4.25" customHeight="1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4.25" customHeight="1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4.25" customHeight="1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4.25" customHeight="1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4.25" customHeight="1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4.25" customHeight="1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4.25" customHeight="1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4.25" customHeight="1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4.25" customHeight="1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4.25" customHeight="1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4.25" customHeight="1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4.25" customHeight="1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4.25" customHeight="1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4.25" customHeight="1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4.25" customHeight="1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4.25" customHeight="1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4.25" customHeight="1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4.25" customHeight="1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4.25" customHeight="1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4.25" customHeight="1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4.25" customHeight="1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4.25" customHeight="1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4.25" customHeight="1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4.25" customHeight="1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4.25" customHeight="1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4.25" customHeight="1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4.25" customHeight="1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4.25" customHeight="1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4.25" customHeight="1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4.25" customHeight="1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4.25" customHeight="1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4.25" customHeight="1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4.25" customHeight="1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4.25" customHeight="1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4.25" customHeight="1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4.25" customHeight="1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4.25" customHeight="1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4.25" customHeight="1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4.25" customHeight="1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4.25" customHeight="1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4.25" customHeight="1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4.25" customHeight="1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4.25" customHeight="1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4.25" customHeight="1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4.25" customHeight="1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4.25" customHeight="1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4.25" customHeight="1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4.25" customHeight="1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4.25" customHeight="1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4.25" customHeight="1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4.25" customHeight="1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4.25" customHeight="1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4.25" customHeight="1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4.25" customHeight="1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4.25" customHeight="1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4.25" customHeight="1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4.25" customHeight="1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4.25" customHeight="1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4.25" customHeight="1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4.25" customHeight="1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4.25" customHeight="1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4.25" customHeight="1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4.25" customHeight="1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4.25" customHeight="1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4.25" customHeight="1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4.25" customHeight="1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4.25" customHeight="1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4.25" customHeight="1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4.25" customHeight="1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4.25" customHeight="1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4.25" customHeight="1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4.25" customHeight="1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4.25" customHeight="1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4.25" customHeight="1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4.25" customHeight="1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4.25" customHeight="1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4.25" customHeight="1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4.25" customHeight="1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4.25" customHeight="1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4.25" customHeight="1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4.25" customHeight="1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4.25" customHeight="1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4.25" customHeight="1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4.25" customHeight="1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4.25" customHeight="1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4.25" customHeight="1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4.25" customHeight="1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4.25" customHeight="1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4.25" customHeight="1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4.25" customHeight="1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4.25" customHeight="1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4.25" customHeight="1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4.25" customHeight="1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4.25" customHeight="1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4.25" customHeight="1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4.25" customHeight="1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4.25" customHeight="1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4.25" customHeight="1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4.25" customHeight="1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4.25" customHeight="1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4.25" customHeight="1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4.25" customHeight="1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4.25" customHeight="1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4.25" customHeight="1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4.25" customHeight="1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4.25" customHeight="1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4.25" customHeight="1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4.25" customHeight="1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4.25" customHeight="1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4.25" customHeight="1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4.25" customHeight="1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4.25" customHeight="1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4.25" customHeight="1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4.25" customHeight="1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4.25" customHeight="1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4.25" customHeight="1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4.25" customHeight="1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4.25" customHeight="1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4.25" customHeight="1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4.25" customHeight="1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4.25" customHeight="1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4.25" customHeight="1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4.25" customHeight="1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4.25" customHeight="1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4.25" customHeight="1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4.25" customHeight="1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4.25" customHeight="1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4.25" customHeight="1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4.25" customHeight="1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4.25" customHeight="1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4.25" customHeight="1" x14ac:dyDescent="0.2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4.25" customHeight="1" x14ac:dyDescent="0.2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4.25" customHeight="1" x14ac:dyDescent="0.2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4.25" customHeight="1" x14ac:dyDescent="0.2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4.25" customHeight="1" x14ac:dyDescent="0.2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4.25" customHeight="1" x14ac:dyDescent="0.2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4.25" customHeight="1" x14ac:dyDescent="0.2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4.25" customHeight="1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4.25" customHeight="1" x14ac:dyDescent="0.2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4.25" customHeight="1" x14ac:dyDescent="0.2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4.25" customHeight="1" x14ac:dyDescent="0.2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4.25" customHeight="1" x14ac:dyDescent="0.2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4.25" customHeight="1" x14ac:dyDescent="0.2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4.25" customHeight="1" x14ac:dyDescent="0.2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4.25" customHeight="1" x14ac:dyDescent="0.2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4.25" customHeight="1" x14ac:dyDescent="0.2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4.25" customHeight="1" x14ac:dyDescent="0.2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4.25" customHeight="1" x14ac:dyDescent="0.2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4.25" customHeight="1" x14ac:dyDescent="0.2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4.25" customHeight="1" x14ac:dyDescent="0.2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4.25" customHeight="1" x14ac:dyDescent="0.2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4.25" customHeight="1" x14ac:dyDescent="0.2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4.25" customHeight="1" x14ac:dyDescent="0.2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4.25" customHeight="1" x14ac:dyDescent="0.2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4.25" customHeight="1" x14ac:dyDescent="0.2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4.25" customHeight="1" x14ac:dyDescent="0.2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4.25" customHeight="1" x14ac:dyDescent="0.2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4.25" customHeight="1" x14ac:dyDescent="0.2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4.25" customHeight="1" x14ac:dyDescent="0.2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4.25" customHeight="1" x14ac:dyDescent="0.2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4.25" customHeight="1" x14ac:dyDescent="0.2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4.25" customHeight="1" x14ac:dyDescent="0.2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4.25" customHeight="1" x14ac:dyDescent="0.2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4.25" customHeight="1" x14ac:dyDescent="0.2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4.25" customHeight="1" x14ac:dyDescent="0.2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4.25" customHeight="1" x14ac:dyDescent="0.2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4.25" customHeight="1" x14ac:dyDescent="0.2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4.25" customHeight="1" x14ac:dyDescent="0.2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4.25" customHeight="1" x14ac:dyDescent="0.2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4.25" customHeight="1" x14ac:dyDescent="0.2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4.25" customHeight="1" x14ac:dyDescent="0.2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4.25" customHeight="1" x14ac:dyDescent="0.2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4.25" customHeight="1" x14ac:dyDescent="0.2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4.25" customHeight="1" x14ac:dyDescent="0.2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4.25" customHeight="1" x14ac:dyDescent="0.2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4.25" customHeight="1" x14ac:dyDescent="0.2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4.25" customHeight="1" x14ac:dyDescent="0.2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4.25" customHeight="1" x14ac:dyDescent="0.2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4.25" customHeight="1" x14ac:dyDescent="0.2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4.25" customHeight="1" x14ac:dyDescent="0.2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4.25" customHeight="1" x14ac:dyDescent="0.2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4.25" customHeight="1" x14ac:dyDescent="0.2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4.25" customHeight="1" x14ac:dyDescent="0.2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4.25" customHeight="1" x14ac:dyDescent="0.2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4.25" customHeight="1" x14ac:dyDescent="0.2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4.25" customHeight="1" x14ac:dyDescent="0.2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4.25" customHeight="1" x14ac:dyDescent="0.2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4.25" customHeight="1" x14ac:dyDescent="0.2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4.25" customHeight="1" x14ac:dyDescent="0.2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4.25" customHeight="1" x14ac:dyDescent="0.2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4.25" customHeight="1" x14ac:dyDescent="0.2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4.25" customHeight="1" x14ac:dyDescent="0.2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4.25" customHeight="1" x14ac:dyDescent="0.2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4.25" customHeight="1" x14ac:dyDescent="0.2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4.25" customHeight="1" x14ac:dyDescent="0.2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4.25" customHeight="1" x14ac:dyDescent="0.2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4.25" customHeight="1" x14ac:dyDescent="0.2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4.25" customHeight="1" x14ac:dyDescent="0.2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4.25" customHeight="1" x14ac:dyDescent="0.2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4.25" customHeight="1" x14ac:dyDescent="0.2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4.25" customHeight="1" x14ac:dyDescent="0.2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4.25" customHeight="1" x14ac:dyDescent="0.2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4.25" customHeight="1" x14ac:dyDescent="0.2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4.25" customHeight="1" x14ac:dyDescent="0.2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4.25" customHeight="1" x14ac:dyDescent="0.2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4.25" customHeight="1" x14ac:dyDescent="0.2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4.25" customHeight="1" x14ac:dyDescent="0.2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4.25" customHeight="1" x14ac:dyDescent="0.2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4.25" customHeight="1" x14ac:dyDescent="0.2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4.25" customHeight="1" x14ac:dyDescent="0.2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4.25" customHeight="1" x14ac:dyDescent="0.2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4.25" customHeight="1" x14ac:dyDescent="0.2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4.25" customHeight="1" x14ac:dyDescent="0.2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4.25" customHeight="1" x14ac:dyDescent="0.2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4.25" customHeight="1" x14ac:dyDescent="0.2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4.25" customHeight="1" x14ac:dyDescent="0.2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4.25" customHeight="1" x14ac:dyDescent="0.2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4.25" customHeight="1" x14ac:dyDescent="0.2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4.25" customHeight="1" x14ac:dyDescent="0.2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4.25" customHeight="1" x14ac:dyDescent="0.2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4.25" customHeight="1" x14ac:dyDescent="0.2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4.25" customHeight="1" x14ac:dyDescent="0.2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4.25" customHeight="1" x14ac:dyDescent="0.2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4.25" customHeight="1" x14ac:dyDescent="0.2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4.25" customHeight="1" x14ac:dyDescent="0.2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4.25" customHeight="1" x14ac:dyDescent="0.2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4.25" customHeight="1" x14ac:dyDescent="0.2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4.25" customHeight="1" x14ac:dyDescent="0.2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4.25" customHeight="1" x14ac:dyDescent="0.2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4.25" customHeight="1" x14ac:dyDescent="0.2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4.25" customHeight="1" x14ac:dyDescent="0.2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4.25" customHeight="1" x14ac:dyDescent="0.2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4.25" customHeight="1" x14ac:dyDescent="0.2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4.25" customHeight="1" x14ac:dyDescent="0.2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4.25" customHeight="1" x14ac:dyDescent="0.2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4.25" customHeight="1" x14ac:dyDescent="0.2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4.25" customHeight="1" x14ac:dyDescent="0.2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4.25" customHeight="1" x14ac:dyDescent="0.2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4.25" customHeight="1" x14ac:dyDescent="0.2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4.25" customHeight="1" x14ac:dyDescent="0.2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4.25" customHeight="1" x14ac:dyDescent="0.2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4.25" customHeight="1" x14ac:dyDescent="0.2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4.25" customHeight="1" x14ac:dyDescent="0.2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4.25" customHeight="1" x14ac:dyDescent="0.2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4.25" customHeight="1" x14ac:dyDescent="0.2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4.25" customHeight="1" x14ac:dyDescent="0.2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4.25" customHeight="1" x14ac:dyDescent="0.2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4.25" customHeight="1" x14ac:dyDescent="0.2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4.25" customHeight="1" x14ac:dyDescent="0.2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4.25" customHeight="1" x14ac:dyDescent="0.2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4.25" customHeight="1" x14ac:dyDescent="0.2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4.25" customHeight="1" x14ac:dyDescent="0.2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4.25" customHeight="1" x14ac:dyDescent="0.2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4.25" customHeight="1" x14ac:dyDescent="0.2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4.25" customHeight="1" x14ac:dyDescent="0.2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4.25" customHeight="1" x14ac:dyDescent="0.2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4.25" customHeight="1" x14ac:dyDescent="0.2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4.25" customHeight="1" x14ac:dyDescent="0.2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4.25" customHeight="1" x14ac:dyDescent="0.2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4.25" customHeight="1" x14ac:dyDescent="0.2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4.25" customHeight="1" x14ac:dyDescent="0.2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4.25" customHeight="1" x14ac:dyDescent="0.2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4.25" customHeight="1" x14ac:dyDescent="0.2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4.25" customHeight="1" x14ac:dyDescent="0.25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4.25" customHeight="1" x14ac:dyDescent="0.25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4.25" customHeight="1" x14ac:dyDescent="0.25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4.25" customHeight="1" x14ac:dyDescent="0.25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4.25" customHeight="1" x14ac:dyDescent="0.25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4.25" customHeight="1" x14ac:dyDescent="0.25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4.25" customHeight="1" x14ac:dyDescent="0.2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4.25" customHeight="1" x14ac:dyDescent="0.25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4.25" customHeight="1" x14ac:dyDescent="0.25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4.25" customHeight="1" x14ac:dyDescent="0.25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4.25" customHeight="1" x14ac:dyDescent="0.25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4.25" customHeight="1" x14ac:dyDescent="0.25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4.25" customHeight="1" x14ac:dyDescent="0.25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4.25" customHeight="1" x14ac:dyDescent="0.25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4.25" customHeight="1" x14ac:dyDescent="0.25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4.25" customHeight="1" x14ac:dyDescent="0.25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4.25" customHeight="1" x14ac:dyDescent="0.2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4.25" customHeight="1" x14ac:dyDescent="0.25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4.25" customHeight="1" x14ac:dyDescent="0.25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4.25" customHeight="1" x14ac:dyDescent="0.25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4.25" customHeight="1" x14ac:dyDescent="0.25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4.25" customHeight="1" x14ac:dyDescent="0.25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4.25" customHeight="1" x14ac:dyDescent="0.25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4.25" customHeight="1" x14ac:dyDescent="0.25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4.25" customHeight="1" x14ac:dyDescent="0.25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4.25" customHeight="1" x14ac:dyDescent="0.25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4.25" customHeight="1" x14ac:dyDescent="0.2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4.25" customHeight="1" x14ac:dyDescent="0.25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4.25" customHeight="1" x14ac:dyDescent="0.25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4.25" customHeight="1" x14ac:dyDescent="0.25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4.25" customHeight="1" x14ac:dyDescent="0.25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4.25" customHeight="1" x14ac:dyDescent="0.25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4.25" customHeight="1" x14ac:dyDescent="0.25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4.25" customHeight="1" x14ac:dyDescent="0.25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4.25" customHeight="1" x14ac:dyDescent="0.25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4.25" customHeight="1" x14ac:dyDescent="0.25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4.25" customHeight="1" x14ac:dyDescent="0.2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4.25" customHeight="1" x14ac:dyDescent="0.2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4.25" customHeight="1" x14ac:dyDescent="0.25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4.25" customHeight="1" x14ac:dyDescent="0.25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4.25" customHeight="1" x14ac:dyDescent="0.25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4.25" customHeight="1" x14ac:dyDescent="0.25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4.25" customHeight="1" x14ac:dyDescent="0.25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4.25" customHeight="1" x14ac:dyDescent="0.25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4.25" customHeight="1" x14ac:dyDescent="0.25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4.25" customHeight="1" x14ac:dyDescent="0.25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4.25" customHeight="1" x14ac:dyDescent="0.2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4.25" customHeight="1" x14ac:dyDescent="0.25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4.25" customHeight="1" x14ac:dyDescent="0.25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4.25" customHeight="1" x14ac:dyDescent="0.25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4.25" customHeight="1" x14ac:dyDescent="0.25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4.25" customHeight="1" x14ac:dyDescent="0.25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4.25" customHeight="1" x14ac:dyDescent="0.25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4.25" customHeight="1" x14ac:dyDescent="0.25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4.25" customHeight="1" x14ac:dyDescent="0.25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4.25" customHeight="1" x14ac:dyDescent="0.25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4.25" customHeight="1" x14ac:dyDescent="0.2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4.25" customHeight="1" x14ac:dyDescent="0.25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4.25" customHeight="1" x14ac:dyDescent="0.25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4.25" customHeight="1" x14ac:dyDescent="0.25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4.25" customHeight="1" x14ac:dyDescent="0.25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4.25" customHeight="1" x14ac:dyDescent="0.25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4.25" customHeight="1" x14ac:dyDescent="0.25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4.25" customHeight="1" x14ac:dyDescent="0.25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4.25" customHeight="1" x14ac:dyDescent="0.25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4.25" customHeight="1" x14ac:dyDescent="0.25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4.25" customHeight="1" x14ac:dyDescent="0.2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4.25" customHeight="1" x14ac:dyDescent="0.25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4.25" customHeight="1" x14ac:dyDescent="0.25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4.25" customHeight="1" x14ac:dyDescent="0.25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4.25" customHeight="1" x14ac:dyDescent="0.25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4.25" customHeight="1" x14ac:dyDescent="0.25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4.25" customHeight="1" x14ac:dyDescent="0.25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4.25" customHeight="1" x14ac:dyDescent="0.25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4.25" customHeight="1" x14ac:dyDescent="0.25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4.25" customHeight="1" x14ac:dyDescent="0.25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4.25" customHeight="1" x14ac:dyDescent="0.2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4.25" customHeight="1" x14ac:dyDescent="0.25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4.25" customHeight="1" x14ac:dyDescent="0.25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4.25" customHeight="1" x14ac:dyDescent="0.25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4.25" customHeight="1" x14ac:dyDescent="0.25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4.25" customHeight="1" x14ac:dyDescent="0.25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4.25" customHeight="1" x14ac:dyDescent="0.25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4.25" customHeight="1" x14ac:dyDescent="0.25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4.25" customHeight="1" x14ac:dyDescent="0.25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4.25" customHeight="1" x14ac:dyDescent="0.25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4.25" customHeight="1" x14ac:dyDescent="0.2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4.25" customHeight="1" x14ac:dyDescent="0.25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4.25" customHeight="1" x14ac:dyDescent="0.25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4.25" customHeight="1" x14ac:dyDescent="0.25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4.25" customHeight="1" x14ac:dyDescent="0.25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4.25" customHeight="1" x14ac:dyDescent="0.25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4.25" customHeight="1" x14ac:dyDescent="0.25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4.25" customHeight="1" x14ac:dyDescent="0.25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4.25" customHeight="1" x14ac:dyDescent="0.25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4.25" customHeight="1" x14ac:dyDescent="0.25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4.25" customHeight="1" x14ac:dyDescent="0.2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4.25" customHeight="1" x14ac:dyDescent="0.25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4.25" customHeight="1" x14ac:dyDescent="0.25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4.25" customHeight="1" x14ac:dyDescent="0.25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4.25" customHeight="1" x14ac:dyDescent="0.25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4.25" customHeight="1" x14ac:dyDescent="0.25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4.25" customHeight="1" x14ac:dyDescent="0.25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4.25" customHeight="1" x14ac:dyDescent="0.25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4.25" customHeight="1" x14ac:dyDescent="0.25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4.25" customHeight="1" x14ac:dyDescent="0.25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4.25" customHeight="1" x14ac:dyDescent="0.2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4.25" customHeight="1" x14ac:dyDescent="0.25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4.25" customHeight="1" x14ac:dyDescent="0.25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4.25" customHeight="1" x14ac:dyDescent="0.25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4.25" customHeight="1" x14ac:dyDescent="0.25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4.25" customHeight="1" x14ac:dyDescent="0.25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4.25" customHeight="1" x14ac:dyDescent="0.25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4.25" customHeight="1" x14ac:dyDescent="0.25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4.25" customHeight="1" x14ac:dyDescent="0.25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4.25" customHeight="1" x14ac:dyDescent="0.25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4.25" customHeight="1" x14ac:dyDescent="0.2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4.25" customHeight="1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4.25" customHeight="1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4.25" customHeight="1" x14ac:dyDescent="0.2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4.25" customHeight="1" x14ac:dyDescent="0.25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4.25" customHeight="1" x14ac:dyDescent="0.25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4.25" customHeight="1" x14ac:dyDescent="0.25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4.25" customHeight="1" x14ac:dyDescent="0.25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4.25" customHeight="1" x14ac:dyDescent="0.25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4.25" customHeight="1" x14ac:dyDescent="0.25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4.25" customHeight="1" x14ac:dyDescent="0.2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4.25" customHeight="1" x14ac:dyDescent="0.25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4.25" customHeight="1" x14ac:dyDescent="0.25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4.25" customHeight="1" x14ac:dyDescent="0.25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4.25" customHeight="1" x14ac:dyDescent="0.25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4.25" customHeight="1" x14ac:dyDescent="0.25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4.25" customHeight="1" x14ac:dyDescent="0.25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4.25" customHeight="1" x14ac:dyDescent="0.25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4.25" customHeight="1" x14ac:dyDescent="0.25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4.25" customHeight="1" x14ac:dyDescent="0.25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4.25" customHeight="1" x14ac:dyDescent="0.2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4.25" customHeight="1" x14ac:dyDescent="0.25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4.25" customHeight="1" x14ac:dyDescent="0.25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4.25" customHeight="1" x14ac:dyDescent="0.25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4.25" customHeight="1" x14ac:dyDescent="0.25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4.25" customHeight="1" x14ac:dyDescent="0.25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4.25" customHeight="1" x14ac:dyDescent="0.25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4.25" customHeight="1" x14ac:dyDescent="0.25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4.25" customHeight="1" x14ac:dyDescent="0.25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4.25" customHeight="1" x14ac:dyDescent="0.25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4.25" customHeight="1" x14ac:dyDescent="0.2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4.25" customHeight="1" x14ac:dyDescent="0.25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4.25" customHeight="1" x14ac:dyDescent="0.25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4.25" customHeight="1" x14ac:dyDescent="0.25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4.25" customHeight="1" x14ac:dyDescent="0.25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4.25" customHeight="1" x14ac:dyDescent="0.25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4.25" customHeight="1" x14ac:dyDescent="0.25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4.25" customHeight="1" x14ac:dyDescent="0.25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4.25" customHeight="1" x14ac:dyDescent="0.25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4.25" customHeight="1" x14ac:dyDescent="0.25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4.25" customHeight="1" x14ac:dyDescent="0.2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4.25" customHeight="1" x14ac:dyDescent="0.25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4.25" customHeight="1" x14ac:dyDescent="0.25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4.25" customHeight="1" x14ac:dyDescent="0.25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4.25" customHeight="1" x14ac:dyDescent="0.25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4.25" customHeight="1" x14ac:dyDescent="0.25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4.25" customHeight="1" x14ac:dyDescent="0.25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4.25" customHeight="1" x14ac:dyDescent="0.25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4.25" customHeight="1" x14ac:dyDescent="0.25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4.25" customHeight="1" x14ac:dyDescent="0.25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4.25" customHeight="1" x14ac:dyDescent="0.2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4.25" customHeight="1" x14ac:dyDescent="0.25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4.25" customHeight="1" x14ac:dyDescent="0.25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4.25" customHeight="1" x14ac:dyDescent="0.25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4.25" customHeight="1" x14ac:dyDescent="0.25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4.25" customHeight="1" x14ac:dyDescent="0.25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4.25" customHeight="1" x14ac:dyDescent="0.25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4.25" customHeight="1" x14ac:dyDescent="0.25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4.25" customHeight="1" x14ac:dyDescent="0.25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4.25" customHeight="1" x14ac:dyDescent="0.25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4.25" customHeight="1" x14ac:dyDescent="0.2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4.25" customHeight="1" x14ac:dyDescent="0.25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4.25" customHeight="1" x14ac:dyDescent="0.25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4.25" customHeight="1" x14ac:dyDescent="0.25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4.25" customHeight="1" x14ac:dyDescent="0.25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4.25" customHeight="1" x14ac:dyDescent="0.25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4.25" customHeight="1" x14ac:dyDescent="0.25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4.25" customHeight="1" x14ac:dyDescent="0.25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4.25" customHeight="1" x14ac:dyDescent="0.25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4.25" customHeight="1" x14ac:dyDescent="0.25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4.25" customHeight="1" x14ac:dyDescent="0.2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4.25" customHeight="1" x14ac:dyDescent="0.25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4.25" customHeight="1" x14ac:dyDescent="0.25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4.25" customHeight="1" x14ac:dyDescent="0.25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4.25" customHeight="1" x14ac:dyDescent="0.25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4.25" customHeight="1" x14ac:dyDescent="0.25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4.25" customHeight="1" x14ac:dyDescent="0.25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4.25" customHeight="1" x14ac:dyDescent="0.25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4.25" customHeight="1" x14ac:dyDescent="0.25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4.25" customHeight="1" x14ac:dyDescent="0.25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4.25" customHeight="1" x14ac:dyDescent="0.2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4.25" customHeight="1" x14ac:dyDescent="0.25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4.25" customHeight="1" x14ac:dyDescent="0.25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4.25" customHeight="1" x14ac:dyDescent="0.25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4.25" customHeight="1" x14ac:dyDescent="0.25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4.25" customHeight="1" x14ac:dyDescent="0.25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4.25" customHeight="1" x14ac:dyDescent="0.25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4.25" customHeight="1" x14ac:dyDescent="0.25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4.25" customHeight="1" x14ac:dyDescent="0.25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4.25" customHeight="1" x14ac:dyDescent="0.25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4.25" customHeight="1" x14ac:dyDescent="0.2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4.25" customHeight="1" x14ac:dyDescent="0.25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4.25" customHeight="1" x14ac:dyDescent="0.25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4.25" customHeight="1" x14ac:dyDescent="0.25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4.25" customHeight="1" x14ac:dyDescent="0.25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4.25" customHeight="1" x14ac:dyDescent="0.25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4.25" customHeight="1" x14ac:dyDescent="0.25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4.25" customHeight="1" x14ac:dyDescent="0.25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4.25" customHeight="1" x14ac:dyDescent="0.25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4.25" customHeight="1" x14ac:dyDescent="0.25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4.25" customHeight="1" x14ac:dyDescent="0.2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4.25" customHeight="1" x14ac:dyDescent="0.25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4.25" customHeight="1" x14ac:dyDescent="0.25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4.25" customHeight="1" x14ac:dyDescent="0.25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4.25" customHeight="1" x14ac:dyDescent="0.25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4.25" customHeight="1" x14ac:dyDescent="0.25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4.25" customHeight="1" x14ac:dyDescent="0.25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4.25" customHeight="1" x14ac:dyDescent="0.25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4.25" customHeight="1" x14ac:dyDescent="0.25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4.25" customHeight="1" x14ac:dyDescent="0.25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4.25" customHeight="1" x14ac:dyDescent="0.25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4.25" customHeight="1" x14ac:dyDescent="0.25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4.25" customHeight="1" x14ac:dyDescent="0.25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4.25" customHeight="1" x14ac:dyDescent="0.25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4.25" customHeight="1" x14ac:dyDescent="0.25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4.25" customHeight="1" x14ac:dyDescent="0.25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4.25" customHeight="1" x14ac:dyDescent="0.25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4.25" customHeight="1" x14ac:dyDescent="0.25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4.25" customHeight="1" x14ac:dyDescent="0.25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4.25" customHeight="1" x14ac:dyDescent="0.25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4.25" customHeight="1" x14ac:dyDescent="0.2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4.25" customHeight="1" x14ac:dyDescent="0.25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4.25" customHeight="1" x14ac:dyDescent="0.25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4.25" customHeight="1" x14ac:dyDescent="0.25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4.25" customHeight="1" x14ac:dyDescent="0.25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4.25" customHeight="1" x14ac:dyDescent="0.25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4.25" customHeight="1" x14ac:dyDescent="0.25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4.25" customHeight="1" x14ac:dyDescent="0.25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4.25" customHeight="1" x14ac:dyDescent="0.25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4.25" customHeight="1" x14ac:dyDescent="0.25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4.25" customHeight="1" x14ac:dyDescent="0.2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4.25" customHeight="1" x14ac:dyDescent="0.25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4.25" customHeight="1" x14ac:dyDescent="0.25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4.25" customHeight="1" x14ac:dyDescent="0.25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4.25" customHeight="1" x14ac:dyDescent="0.25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4.25" customHeight="1" x14ac:dyDescent="0.25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4.25" customHeight="1" x14ac:dyDescent="0.25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4.25" customHeight="1" x14ac:dyDescent="0.25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4.25" customHeight="1" x14ac:dyDescent="0.25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4.25" customHeight="1" x14ac:dyDescent="0.25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4.25" customHeight="1" x14ac:dyDescent="0.25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4.25" customHeight="1" x14ac:dyDescent="0.25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4.25" customHeight="1" x14ac:dyDescent="0.25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4.25" customHeight="1" x14ac:dyDescent="0.25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4.25" customHeight="1" x14ac:dyDescent="0.25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4.25" customHeight="1" x14ac:dyDescent="0.25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4.25" customHeight="1" x14ac:dyDescent="0.25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4.25" customHeight="1" x14ac:dyDescent="0.25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4.25" customHeight="1" x14ac:dyDescent="0.25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4.25" customHeight="1" x14ac:dyDescent="0.25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4.25" customHeight="1" x14ac:dyDescent="0.25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4.25" customHeight="1" x14ac:dyDescent="0.25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4.25" customHeight="1" x14ac:dyDescent="0.25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4.25" customHeight="1" x14ac:dyDescent="0.25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4.25" customHeight="1" x14ac:dyDescent="0.25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4.25" customHeight="1" x14ac:dyDescent="0.25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4.25" customHeight="1" x14ac:dyDescent="0.25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4.25" customHeight="1" x14ac:dyDescent="0.25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4.25" customHeight="1" x14ac:dyDescent="0.25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4.25" customHeight="1" x14ac:dyDescent="0.25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4.25" customHeight="1" x14ac:dyDescent="0.25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4.25" customHeight="1" x14ac:dyDescent="0.25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4.25" customHeight="1" x14ac:dyDescent="0.25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4.25" customHeight="1" x14ac:dyDescent="0.25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4.25" customHeight="1" x14ac:dyDescent="0.25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4.25" customHeight="1" x14ac:dyDescent="0.25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4.25" customHeight="1" x14ac:dyDescent="0.25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4.25" customHeight="1" x14ac:dyDescent="0.25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4.25" customHeight="1" x14ac:dyDescent="0.25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4.25" customHeight="1" x14ac:dyDescent="0.25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4.25" customHeight="1" x14ac:dyDescent="0.25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4.25" customHeight="1" x14ac:dyDescent="0.25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4.25" customHeight="1" x14ac:dyDescent="0.25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4.25" customHeight="1" x14ac:dyDescent="0.25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4.25" customHeight="1" x14ac:dyDescent="0.25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4.25" customHeight="1" x14ac:dyDescent="0.25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4.25" customHeight="1" x14ac:dyDescent="0.25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4.25" customHeight="1" x14ac:dyDescent="0.25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4.25" customHeight="1" x14ac:dyDescent="0.25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4.25" customHeight="1" x14ac:dyDescent="0.25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4.25" customHeight="1" x14ac:dyDescent="0.25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4.25" customHeight="1" x14ac:dyDescent="0.25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4.25" customHeight="1" x14ac:dyDescent="0.25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4.25" customHeight="1" x14ac:dyDescent="0.25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4.25" customHeight="1" x14ac:dyDescent="0.25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4.25" customHeight="1" x14ac:dyDescent="0.25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4.25" customHeight="1" x14ac:dyDescent="0.25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4.25" customHeight="1" x14ac:dyDescent="0.25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4.25" customHeight="1" x14ac:dyDescent="0.25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4.25" customHeight="1" x14ac:dyDescent="0.25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4.25" customHeight="1" x14ac:dyDescent="0.25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4.25" customHeight="1" x14ac:dyDescent="0.25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4.25" customHeight="1" x14ac:dyDescent="0.25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4.25" customHeight="1" x14ac:dyDescent="0.25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4.25" customHeight="1" x14ac:dyDescent="0.25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4.25" customHeight="1" x14ac:dyDescent="0.25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4.25" customHeight="1" x14ac:dyDescent="0.25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4.25" customHeight="1" x14ac:dyDescent="0.25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4.25" customHeight="1" x14ac:dyDescent="0.25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4.25" customHeight="1" x14ac:dyDescent="0.25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4.25" customHeight="1" x14ac:dyDescent="0.25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4.25" customHeight="1" x14ac:dyDescent="0.25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4.25" customHeight="1" x14ac:dyDescent="0.25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4.25" customHeight="1" x14ac:dyDescent="0.25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4.25" customHeight="1" x14ac:dyDescent="0.25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4.25" customHeight="1" x14ac:dyDescent="0.25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4.25" customHeight="1" x14ac:dyDescent="0.25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4.25" customHeight="1" x14ac:dyDescent="0.25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4.25" customHeight="1" x14ac:dyDescent="0.25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4.25" customHeight="1" x14ac:dyDescent="0.25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4.25" customHeight="1" x14ac:dyDescent="0.25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4.25" customHeight="1" x14ac:dyDescent="0.25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4.25" customHeight="1" x14ac:dyDescent="0.25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4.25" customHeight="1" x14ac:dyDescent="0.25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4.25" customHeight="1" x14ac:dyDescent="0.25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4.25" customHeight="1" x14ac:dyDescent="0.25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4.25" customHeight="1" x14ac:dyDescent="0.25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4.25" customHeight="1" x14ac:dyDescent="0.25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4.25" customHeight="1" x14ac:dyDescent="0.25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4.25" customHeight="1" x14ac:dyDescent="0.25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4.25" customHeight="1" x14ac:dyDescent="0.25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4.25" customHeight="1" x14ac:dyDescent="0.25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4.25" customHeight="1" x14ac:dyDescent="0.25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4.25" customHeight="1" x14ac:dyDescent="0.25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4.25" customHeight="1" x14ac:dyDescent="0.25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4.25" customHeight="1" x14ac:dyDescent="0.25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4.25" customHeight="1" x14ac:dyDescent="0.25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4.25" customHeight="1" x14ac:dyDescent="0.25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4.25" customHeight="1" x14ac:dyDescent="0.25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4.25" customHeight="1" x14ac:dyDescent="0.25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4.25" customHeight="1" x14ac:dyDescent="0.25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4.25" customHeight="1" x14ac:dyDescent="0.25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4.25" customHeight="1" x14ac:dyDescent="0.25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4.25" customHeight="1" x14ac:dyDescent="0.25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4.25" customHeight="1" x14ac:dyDescent="0.25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4.25" customHeight="1" x14ac:dyDescent="0.25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4.25" customHeight="1" x14ac:dyDescent="0.25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4.25" customHeight="1" x14ac:dyDescent="0.25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4.25" customHeight="1" x14ac:dyDescent="0.25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4.25" customHeight="1" x14ac:dyDescent="0.25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4.25" customHeight="1" x14ac:dyDescent="0.25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4.25" customHeight="1" x14ac:dyDescent="0.25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4.25" customHeight="1" x14ac:dyDescent="0.25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4.25" customHeight="1" x14ac:dyDescent="0.25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4.25" customHeight="1" x14ac:dyDescent="0.25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4.25" customHeight="1" x14ac:dyDescent="0.25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4.25" customHeight="1" x14ac:dyDescent="0.25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4.25" customHeight="1" x14ac:dyDescent="0.25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4.25" customHeight="1" x14ac:dyDescent="0.25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4.25" customHeight="1" x14ac:dyDescent="0.25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4.25" customHeight="1" x14ac:dyDescent="0.25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4.25" customHeight="1" x14ac:dyDescent="0.25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4.25" customHeight="1" x14ac:dyDescent="0.25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4.25" customHeight="1" x14ac:dyDescent="0.25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4.25" customHeight="1" x14ac:dyDescent="0.25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4.25" customHeight="1" x14ac:dyDescent="0.25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4.25" customHeight="1" x14ac:dyDescent="0.25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4.25" customHeight="1" x14ac:dyDescent="0.25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4.25" customHeight="1" x14ac:dyDescent="0.25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4.25" customHeight="1" x14ac:dyDescent="0.25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4.25" customHeight="1" x14ac:dyDescent="0.25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4.25" customHeight="1" x14ac:dyDescent="0.25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4.25" customHeight="1" x14ac:dyDescent="0.25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4.25" customHeight="1" x14ac:dyDescent="0.25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4.25" customHeight="1" x14ac:dyDescent="0.25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4.25" customHeight="1" x14ac:dyDescent="0.25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4.25" customHeight="1" x14ac:dyDescent="0.25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4.25" customHeight="1" x14ac:dyDescent="0.25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4.25" customHeight="1" x14ac:dyDescent="0.25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4.25" customHeight="1" x14ac:dyDescent="0.25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4.25" customHeight="1" x14ac:dyDescent="0.25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4.25" customHeight="1" x14ac:dyDescent="0.25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4.25" customHeight="1" x14ac:dyDescent="0.25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4.25" customHeight="1" x14ac:dyDescent="0.25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4.25" customHeight="1" x14ac:dyDescent="0.25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4.25" customHeight="1" x14ac:dyDescent="0.25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4.25" customHeight="1" x14ac:dyDescent="0.25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4.25" customHeight="1" x14ac:dyDescent="0.25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4.25" customHeight="1" x14ac:dyDescent="0.25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4.25" customHeight="1" x14ac:dyDescent="0.25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4.25" customHeight="1" x14ac:dyDescent="0.25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4.25" customHeight="1" x14ac:dyDescent="0.25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4.25" customHeight="1" x14ac:dyDescent="0.25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4.25" customHeight="1" x14ac:dyDescent="0.25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4.25" customHeight="1" x14ac:dyDescent="0.25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4.25" customHeight="1" x14ac:dyDescent="0.25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4.25" customHeight="1" x14ac:dyDescent="0.25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4.25" customHeight="1" x14ac:dyDescent="0.25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4.25" customHeight="1" x14ac:dyDescent="0.25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4.25" customHeight="1" x14ac:dyDescent="0.25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4.25" customHeight="1" x14ac:dyDescent="0.25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4.25" customHeight="1" x14ac:dyDescent="0.25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4.25" customHeight="1" x14ac:dyDescent="0.25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4.25" customHeight="1" x14ac:dyDescent="0.25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4.25" customHeight="1" x14ac:dyDescent="0.25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4.25" customHeight="1" x14ac:dyDescent="0.25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4.25" customHeight="1" x14ac:dyDescent="0.25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4.25" customHeight="1" x14ac:dyDescent="0.25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4.25" customHeight="1" x14ac:dyDescent="0.25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4.25" customHeight="1" x14ac:dyDescent="0.25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4.25" customHeight="1" x14ac:dyDescent="0.25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4.25" customHeight="1" x14ac:dyDescent="0.25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4.25" customHeight="1" x14ac:dyDescent="0.25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4.25" customHeight="1" x14ac:dyDescent="0.25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4.25" customHeight="1" x14ac:dyDescent="0.25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4.25" customHeight="1" x14ac:dyDescent="0.25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4.25" customHeight="1" x14ac:dyDescent="0.25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4.25" customHeight="1" x14ac:dyDescent="0.25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4.25" customHeight="1" x14ac:dyDescent="0.25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4.25" customHeight="1" x14ac:dyDescent="0.25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4.25" customHeight="1" x14ac:dyDescent="0.25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4.25" customHeight="1" x14ac:dyDescent="0.25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4.25" customHeight="1" x14ac:dyDescent="0.25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4.25" customHeight="1" x14ac:dyDescent="0.25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4.25" customHeight="1" x14ac:dyDescent="0.25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4.25" customHeight="1" x14ac:dyDescent="0.25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4.25" customHeight="1" x14ac:dyDescent="0.25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4.25" customHeight="1" x14ac:dyDescent="0.25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4.25" customHeight="1" x14ac:dyDescent="0.25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4.25" customHeight="1" x14ac:dyDescent="0.25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4.25" customHeight="1" x14ac:dyDescent="0.25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4.25" customHeight="1" x14ac:dyDescent="0.25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4.25" customHeight="1" x14ac:dyDescent="0.25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4.25" customHeight="1" x14ac:dyDescent="0.25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4.25" customHeight="1" x14ac:dyDescent="0.25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4.25" customHeight="1" x14ac:dyDescent="0.25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4.25" customHeight="1" x14ac:dyDescent="0.25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4.25" customHeight="1" x14ac:dyDescent="0.25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4.25" customHeight="1" x14ac:dyDescent="0.25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4.25" customHeight="1" x14ac:dyDescent="0.25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4.25" customHeight="1" x14ac:dyDescent="0.25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4.25" customHeight="1" x14ac:dyDescent="0.25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4.25" customHeight="1" x14ac:dyDescent="0.25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4.25" customHeight="1" x14ac:dyDescent="0.25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4.25" customHeight="1" x14ac:dyDescent="0.25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4.25" customHeight="1" x14ac:dyDescent="0.25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4.25" customHeight="1" x14ac:dyDescent="0.25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4.25" customHeight="1" x14ac:dyDescent="0.25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4.25" customHeight="1" x14ac:dyDescent="0.25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4.25" customHeight="1" x14ac:dyDescent="0.25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4.25" customHeight="1" x14ac:dyDescent="0.25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4.25" customHeight="1" x14ac:dyDescent="0.25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4.25" customHeight="1" x14ac:dyDescent="0.25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4.25" customHeight="1" x14ac:dyDescent="0.25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4.25" customHeight="1" x14ac:dyDescent="0.25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4.25" customHeight="1" x14ac:dyDescent="0.25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4.25" customHeight="1" x14ac:dyDescent="0.25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4.25" customHeight="1" x14ac:dyDescent="0.25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4.25" customHeight="1" x14ac:dyDescent="0.25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4.25" customHeight="1" x14ac:dyDescent="0.25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4.25" customHeight="1" x14ac:dyDescent="0.25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4.25" customHeight="1" x14ac:dyDescent="0.25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4.25" customHeight="1" x14ac:dyDescent="0.25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4.25" customHeight="1" x14ac:dyDescent="0.25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4.25" customHeight="1" x14ac:dyDescent="0.25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4.25" customHeight="1" x14ac:dyDescent="0.25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4.25" customHeight="1" x14ac:dyDescent="0.25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4.25" customHeight="1" x14ac:dyDescent="0.25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4.25" customHeight="1" x14ac:dyDescent="0.25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4.25" customHeight="1" x14ac:dyDescent="0.25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4.25" customHeight="1" x14ac:dyDescent="0.25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4.25" customHeight="1" x14ac:dyDescent="0.25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4.25" customHeight="1" x14ac:dyDescent="0.25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4.25" customHeight="1" x14ac:dyDescent="0.25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4.25" customHeight="1" x14ac:dyDescent="0.25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4.25" customHeight="1" x14ac:dyDescent="0.25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4.25" customHeight="1" x14ac:dyDescent="0.25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4.25" customHeight="1" x14ac:dyDescent="0.25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4.25" customHeight="1" x14ac:dyDescent="0.25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4.25" customHeight="1" x14ac:dyDescent="0.25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4.25" customHeight="1" x14ac:dyDescent="0.25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4.25" customHeight="1" x14ac:dyDescent="0.25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4.25" customHeight="1" x14ac:dyDescent="0.25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4.25" customHeight="1" x14ac:dyDescent="0.25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4.25" customHeight="1" x14ac:dyDescent="0.25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4.25" customHeight="1" x14ac:dyDescent="0.25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4.25" customHeight="1" x14ac:dyDescent="0.25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4.25" customHeight="1" x14ac:dyDescent="0.25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4.25" customHeight="1" x14ac:dyDescent="0.25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4.25" customHeight="1" x14ac:dyDescent="0.25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4.25" customHeight="1" x14ac:dyDescent="0.25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4.25" customHeight="1" x14ac:dyDescent="0.25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4.25" customHeight="1" x14ac:dyDescent="0.25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4.25" customHeight="1" x14ac:dyDescent="0.25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4.25" customHeight="1" x14ac:dyDescent="0.25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4.25" customHeight="1" x14ac:dyDescent="0.25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4.25" customHeight="1" x14ac:dyDescent="0.25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4.25" customHeight="1" x14ac:dyDescent="0.25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4.25" customHeight="1" x14ac:dyDescent="0.25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4.25" customHeight="1" x14ac:dyDescent="0.25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4.25" customHeight="1" x14ac:dyDescent="0.25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4.25" customHeight="1" x14ac:dyDescent="0.25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4.25" customHeight="1" x14ac:dyDescent="0.25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4.25" customHeight="1" x14ac:dyDescent="0.25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4.25" customHeight="1" x14ac:dyDescent="0.25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4.25" customHeight="1" x14ac:dyDescent="0.25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4.25" customHeight="1" x14ac:dyDescent="0.25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4.25" customHeight="1" x14ac:dyDescent="0.25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4.25" customHeight="1" x14ac:dyDescent="0.25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4.25" customHeight="1" x14ac:dyDescent="0.25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4.25" customHeight="1" x14ac:dyDescent="0.25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4.25" customHeight="1" x14ac:dyDescent="0.25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4.25" customHeight="1" x14ac:dyDescent="0.25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4.25" customHeight="1" x14ac:dyDescent="0.25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4.25" customHeight="1" x14ac:dyDescent="0.25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4.25" customHeight="1" x14ac:dyDescent="0.25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4.25" customHeight="1" x14ac:dyDescent="0.25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4.25" customHeight="1" x14ac:dyDescent="0.25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4.25" customHeight="1" x14ac:dyDescent="0.25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4.25" customHeight="1" x14ac:dyDescent="0.25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4.25" customHeight="1" x14ac:dyDescent="0.25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4.25" customHeight="1" x14ac:dyDescent="0.25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4.25" customHeight="1" x14ac:dyDescent="0.25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4.25" customHeight="1" x14ac:dyDescent="0.25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4.25" customHeight="1" x14ac:dyDescent="0.25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4.25" customHeight="1" x14ac:dyDescent="0.25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pageMargins left="0.7" right="0.7" top="0.75" bottom="0.75" header="0" footer="0"/>
  <pageSetup orientation="landscape" r:id="rId1"/>
  <headerFooter>
    <oddHeader>&amp;C2022 Draft Budget
&amp;A</oddHeader>
    <oddFooter>&amp;C&amp;F  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Z1000"/>
  <sheetViews>
    <sheetView tabSelected="1" zoomScale="150" zoomScaleNormal="150" workbookViewId="0">
      <pane xSplit="1" ySplit="1" topLeftCell="L26" activePane="bottomRight" state="frozen"/>
      <selection pane="topRight" activeCell="B1" sqref="B1"/>
      <selection pane="bottomLeft" activeCell="A2" sqref="A2"/>
      <selection pane="bottomRight" activeCell="M39" sqref="M39"/>
    </sheetView>
  </sheetViews>
  <sheetFormatPr defaultColWidth="12.625" defaultRowHeight="15" customHeight="1" x14ac:dyDescent="0.2"/>
  <cols>
    <col min="1" max="1" width="32" customWidth="1"/>
    <col min="2" max="14" width="10.75" customWidth="1"/>
    <col min="15" max="15" width="11.875" customWidth="1"/>
    <col min="16" max="16" width="12.875" customWidth="1"/>
    <col min="17" max="17" width="15.375" customWidth="1"/>
    <col min="18" max="18" width="34.5" customWidth="1"/>
    <col min="19" max="26" width="7.625" customWidth="1"/>
  </cols>
  <sheetData>
    <row r="1" spans="1:17" ht="69" customHeight="1" x14ac:dyDescent="0.25">
      <c r="A1" s="8" t="s">
        <v>6</v>
      </c>
      <c r="B1" s="20" t="s">
        <v>17</v>
      </c>
      <c r="C1" s="20" t="s">
        <v>18</v>
      </c>
      <c r="D1" s="20" t="s">
        <v>19</v>
      </c>
      <c r="E1" s="20" t="s">
        <v>20</v>
      </c>
      <c r="F1" s="20" t="s">
        <v>21</v>
      </c>
      <c r="G1" s="20" t="s">
        <v>22</v>
      </c>
      <c r="H1" s="20" t="s">
        <v>23</v>
      </c>
      <c r="I1" s="20" t="s">
        <v>24</v>
      </c>
      <c r="J1" s="20" t="s">
        <v>25</v>
      </c>
      <c r="K1" s="20" t="s">
        <v>7</v>
      </c>
      <c r="L1" s="20" t="s">
        <v>8</v>
      </c>
      <c r="M1" s="20" t="s">
        <v>9</v>
      </c>
      <c r="N1" s="58" t="s">
        <v>153</v>
      </c>
      <c r="O1" s="44" t="s">
        <v>171</v>
      </c>
      <c r="P1" s="44" t="s">
        <v>175</v>
      </c>
      <c r="Q1" s="44" t="s">
        <v>176</v>
      </c>
    </row>
    <row r="2" spans="1:17" ht="14.25" customHeight="1" x14ac:dyDescent="0.25">
      <c r="A2" s="16" t="s">
        <v>11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>
        <f>SUM(B2:M2)</f>
        <v>0</v>
      </c>
    </row>
    <row r="3" spans="1:17" ht="14.25" customHeight="1" x14ac:dyDescent="0.25">
      <c r="A3" s="14" t="s">
        <v>26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7" ht="14.25" customHeight="1" x14ac:dyDescent="0.25">
      <c r="A4" s="16" t="s">
        <v>27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>
        <f t="shared" ref="N4:N8" si="0">SUM(B4:M4)</f>
        <v>0</v>
      </c>
    </row>
    <row r="5" spans="1:17" ht="14.25" customHeight="1" x14ac:dyDescent="0.25">
      <c r="A5" s="16" t="s">
        <v>28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>
        <f t="shared" si="0"/>
        <v>0</v>
      </c>
    </row>
    <row r="6" spans="1:17" ht="14.25" customHeight="1" x14ac:dyDescent="0.25">
      <c r="A6" s="16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>
        <f t="shared" si="0"/>
        <v>0</v>
      </c>
    </row>
    <row r="7" spans="1:17" ht="14.25" customHeight="1" x14ac:dyDescent="0.25">
      <c r="A7" s="16" t="s">
        <v>30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>
        <f t="shared" si="0"/>
        <v>0</v>
      </c>
    </row>
    <row r="8" spans="1:17" ht="14.25" customHeight="1" x14ac:dyDescent="0.25">
      <c r="A8" s="16" t="s">
        <v>31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 t="shared" si="0"/>
        <v>0</v>
      </c>
    </row>
    <row r="9" spans="1:17" ht="14.25" customHeight="1" x14ac:dyDescent="0.25">
      <c r="A9" s="14" t="s">
        <v>32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7" ht="14.25" customHeight="1" x14ac:dyDescent="0.25">
      <c r="A10" s="16" t="s">
        <v>33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>
        <f t="shared" ref="N10:N18" si="1">SUM(B10:M10)</f>
        <v>0</v>
      </c>
    </row>
    <row r="11" spans="1:17" ht="14.25" customHeight="1" x14ac:dyDescent="0.25">
      <c r="A11" s="16" t="s">
        <v>34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>
        <f t="shared" si="1"/>
        <v>0</v>
      </c>
    </row>
    <row r="12" spans="1:17" ht="14.25" customHeight="1" x14ac:dyDescent="0.25">
      <c r="A12" s="16" t="s">
        <v>35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>
        <f t="shared" si="1"/>
        <v>0</v>
      </c>
    </row>
    <row r="13" spans="1:17" ht="14.25" customHeight="1" x14ac:dyDescent="0.25">
      <c r="A13" s="16" t="s">
        <v>36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>
        <f t="shared" si="1"/>
        <v>0</v>
      </c>
    </row>
    <row r="14" spans="1:17" ht="14.25" customHeight="1" x14ac:dyDescent="0.25">
      <c r="A14" s="16" t="s">
        <v>37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>
        <f t="shared" si="1"/>
        <v>0</v>
      </c>
    </row>
    <row r="15" spans="1:17" ht="14.25" customHeight="1" x14ac:dyDescent="0.25">
      <c r="A15" s="16" t="s">
        <v>38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>
        <f t="shared" si="1"/>
        <v>0</v>
      </c>
    </row>
    <row r="16" spans="1:17" ht="14.25" customHeight="1" x14ac:dyDescent="0.25">
      <c r="A16" s="16" t="s">
        <v>39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>
        <f t="shared" si="1"/>
        <v>0</v>
      </c>
    </row>
    <row r="17" spans="1:26" ht="14.25" customHeight="1" x14ac:dyDescent="0.25">
      <c r="A17" s="16" t="s">
        <v>40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>
        <f t="shared" si="1"/>
        <v>0</v>
      </c>
    </row>
    <row r="18" spans="1:26" ht="14.25" customHeight="1" x14ac:dyDescent="0.25">
      <c r="A18" s="16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>
        <f t="shared" si="1"/>
        <v>0</v>
      </c>
    </row>
    <row r="19" spans="1:26" ht="14.25" customHeight="1" x14ac:dyDescent="0.25">
      <c r="A19" s="14" t="s">
        <v>42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26" ht="14.25" customHeight="1" x14ac:dyDescent="0.25">
      <c r="A20" s="16" t="s">
        <v>43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>
        <f t="shared" ref="N20:N24" si="2">SUM(B20:M20)</f>
        <v>0</v>
      </c>
    </row>
    <row r="21" spans="1:26" ht="14.25" customHeight="1" x14ac:dyDescent="0.25">
      <c r="A21" s="16" t="s">
        <v>44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>
        <f t="shared" si="2"/>
        <v>0</v>
      </c>
    </row>
    <row r="22" spans="1:26" ht="14.25" customHeight="1" x14ac:dyDescent="0.25">
      <c r="A22" s="16" t="s">
        <v>45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>
        <f t="shared" si="2"/>
        <v>0</v>
      </c>
    </row>
    <row r="23" spans="1:26" ht="14.25" customHeight="1" x14ac:dyDescent="0.25">
      <c r="A23" s="16" t="s">
        <v>46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>
        <f t="shared" si="2"/>
        <v>0</v>
      </c>
    </row>
    <row r="24" spans="1:26" ht="14.25" customHeight="1" x14ac:dyDescent="0.25">
      <c r="A24" s="16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>
        <f t="shared" si="2"/>
        <v>0</v>
      </c>
    </row>
    <row r="25" spans="1:26" ht="14.25" customHeight="1" x14ac:dyDescent="0.25">
      <c r="A25" s="14" t="s">
        <v>48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26" ht="14.25" customHeight="1" x14ac:dyDescent="0.25">
      <c r="A26" s="16" t="s">
        <v>49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>
        <f t="shared" ref="N26:N36" si="3">SUM(B26:M26)</f>
        <v>0</v>
      </c>
    </row>
    <row r="27" spans="1:26" ht="14.25" customHeight="1" x14ac:dyDescent="0.25">
      <c r="A27" s="16" t="s">
        <v>50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>
        <f t="shared" si="3"/>
        <v>0</v>
      </c>
    </row>
    <row r="28" spans="1:26" ht="14.25" customHeight="1" x14ac:dyDescent="0.25">
      <c r="A28" s="16" t="s">
        <v>51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>
        <f t="shared" si="3"/>
        <v>0</v>
      </c>
    </row>
    <row r="29" spans="1:26" s="132" customFormat="1" ht="14.25" customHeight="1" x14ac:dyDescent="0.25">
      <c r="A29" s="130" t="s">
        <v>52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>
        <f>24000</f>
        <v>24000</v>
      </c>
      <c r="N29" s="131">
        <f t="shared" si="3"/>
        <v>24000</v>
      </c>
      <c r="O29" s="131">
        <f>[1]Master!O32</f>
        <v>24279</v>
      </c>
      <c r="P29" s="131">
        <f>[1]Master!P32</f>
        <v>22500</v>
      </c>
      <c r="Q29" s="131">
        <f>[1]Master!Q32</f>
        <v>-279</v>
      </c>
      <c r="R29" s="130"/>
      <c r="S29" s="130"/>
      <c r="T29" s="130"/>
      <c r="U29" s="130"/>
      <c r="V29" s="130"/>
      <c r="W29" s="130"/>
      <c r="X29" s="130"/>
      <c r="Y29" s="130"/>
      <c r="Z29" s="130"/>
    </row>
    <row r="30" spans="1:26" s="57" customFormat="1" ht="14.25" customHeight="1" x14ac:dyDescent="0.25">
      <c r="A30" s="54" t="s">
        <v>53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103">
        <v>0</v>
      </c>
      <c r="N30" s="55">
        <f t="shared" si="3"/>
        <v>0</v>
      </c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 spans="1:26" ht="14.25" customHeight="1" x14ac:dyDescent="0.25">
      <c r="A31" s="16" t="s">
        <v>54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>
        <f t="shared" si="3"/>
        <v>0</v>
      </c>
    </row>
    <row r="32" spans="1:26" ht="14.25" customHeight="1" x14ac:dyDescent="0.25">
      <c r="A32" s="16" t="s">
        <v>55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>
        <f t="shared" si="3"/>
        <v>0</v>
      </c>
    </row>
    <row r="33" spans="1:26" s="132" customFormat="1" ht="14.25" customHeight="1" x14ac:dyDescent="0.25">
      <c r="A33" s="130" t="s">
        <v>56</v>
      </c>
      <c r="B33" s="131">
        <v>1566</v>
      </c>
      <c r="C33" s="131">
        <v>1566</v>
      </c>
      <c r="D33" s="131">
        <f>1815</f>
        <v>1815</v>
      </c>
      <c r="E33" s="131">
        <f>1815</f>
        <v>1815</v>
      </c>
      <c r="F33" s="131">
        <v>2000</v>
      </c>
      <c r="G33" s="131">
        <v>2000</v>
      </c>
      <c r="H33" s="131">
        <v>2000</v>
      </c>
      <c r="I33" s="131">
        <v>2000</v>
      </c>
      <c r="J33" s="131">
        <v>2000</v>
      </c>
      <c r="K33" s="131">
        <v>2000</v>
      </c>
      <c r="L33" s="131">
        <v>2000</v>
      </c>
      <c r="M33" s="131">
        <v>2000</v>
      </c>
      <c r="N33" s="131">
        <f t="shared" si="3"/>
        <v>22762</v>
      </c>
      <c r="O33" s="131">
        <f>[1]Master!O36</f>
        <v>22183</v>
      </c>
      <c r="P33" s="131">
        <f>[1]Master!P36</f>
        <v>23928</v>
      </c>
      <c r="Q33" s="131">
        <f>[1]Master!Q36</f>
        <v>579</v>
      </c>
      <c r="R33" s="130"/>
      <c r="S33" s="130"/>
      <c r="T33" s="130"/>
      <c r="U33" s="130"/>
      <c r="V33" s="130"/>
      <c r="W33" s="130"/>
      <c r="X33" s="130"/>
      <c r="Y33" s="130"/>
      <c r="Z33" s="130"/>
    </row>
    <row r="34" spans="1:26" ht="14.25" customHeight="1" x14ac:dyDescent="0.25">
      <c r="A34" s="16" t="s">
        <v>57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>
        <f t="shared" si="3"/>
        <v>0</v>
      </c>
    </row>
    <row r="35" spans="1:26" ht="14.25" customHeight="1" x14ac:dyDescent="0.25">
      <c r="A35" s="16" t="s">
        <v>58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>
        <f t="shared" si="3"/>
        <v>0</v>
      </c>
    </row>
    <row r="36" spans="1:26" ht="14.25" customHeight="1" x14ac:dyDescent="0.25">
      <c r="A36" s="16" t="s">
        <v>59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>
        <f t="shared" si="3"/>
        <v>0</v>
      </c>
    </row>
    <row r="37" spans="1:26" s="132" customFormat="1" ht="14.25" customHeight="1" x14ac:dyDescent="0.25">
      <c r="A37" s="130" t="s">
        <v>60</v>
      </c>
      <c r="B37" s="131">
        <v>1000</v>
      </c>
      <c r="C37" s="131">
        <v>1000</v>
      </c>
      <c r="D37" s="131">
        <v>1000</v>
      </c>
      <c r="E37" s="131">
        <v>1000</v>
      </c>
      <c r="F37" s="131">
        <v>1000</v>
      </c>
      <c r="G37" s="131">
        <v>1000</v>
      </c>
      <c r="H37" s="131">
        <v>1000</v>
      </c>
      <c r="I37" s="131">
        <v>1000</v>
      </c>
      <c r="J37" s="131">
        <v>1000</v>
      </c>
      <c r="K37" s="131">
        <v>1000</v>
      </c>
      <c r="L37" s="131">
        <v>1000</v>
      </c>
      <c r="M37" s="131">
        <v>1000</v>
      </c>
      <c r="N37" s="131">
        <f>SUM(B37:M37)</f>
        <v>12000</v>
      </c>
      <c r="O37" s="131">
        <f>[1]Master!O40</f>
        <v>12300</v>
      </c>
      <c r="P37" s="131">
        <f>[1]Master!P40</f>
        <v>12000</v>
      </c>
      <c r="Q37" s="131">
        <f>[1]Master!Q40</f>
        <v>-300</v>
      </c>
      <c r="R37" s="130"/>
      <c r="S37" s="130"/>
      <c r="T37" s="130"/>
      <c r="U37" s="130"/>
      <c r="V37" s="130"/>
      <c r="W37" s="130"/>
      <c r="X37" s="130"/>
      <c r="Y37" s="130"/>
      <c r="Z37" s="130"/>
    </row>
    <row r="38" spans="1:26" s="132" customFormat="1" ht="14.25" customHeight="1" x14ac:dyDescent="0.25">
      <c r="A38" s="130" t="s">
        <v>61</v>
      </c>
      <c r="B38" s="131">
        <v>1200</v>
      </c>
      <c r="C38" s="131">
        <v>1200</v>
      </c>
      <c r="D38" s="131">
        <v>1200</v>
      </c>
      <c r="E38" s="131">
        <v>1200</v>
      </c>
      <c r="F38" s="131">
        <v>2800</v>
      </c>
      <c r="G38" s="131">
        <v>2800</v>
      </c>
      <c r="H38" s="131">
        <v>2800</v>
      </c>
      <c r="I38" s="131">
        <v>2800</v>
      </c>
      <c r="J38" s="131">
        <v>2800</v>
      </c>
      <c r="K38" s="131">
        <v>2800</v>
      </c>
      <c r="L38" s="131">
        <v>2800</v>
      </c>
      <c r="M38" s="131">
        <v>2800</v>
      </c>
      <c r="N38" s="131">
        <f t="shared" ref="N38" si="4">SUM(B38:M38)</f>
        <v>27200</v>
      </c>
      <c r="O38" s="131">
        <f>[1]Master!O41</f>
        <v>26800</v>
      </c>
      <c r="P38" s="131">
        <f>[1]Master!P41</f>
        <v>15600</v>
      </c>
      <c r="Q38" s="131">
        <f>[1]Master!Q41</f>
        <v>400</v>
      </c>
      <c r="R38" s="130"/>
      <c r="S38" s="130"/>
      <c r="T38" s="130"/>
      <c r="U38" s="130"/>
      <c r="V38" s="130"/>
      <c r="W38" s="130"/>
      <c r="X38" s="130"/>
      <c r="Y38" s="130"/>
      <c r="Z38" s="130"/>
    </row>
    <row r="39" spans="1:26" ht="14.25" customHeight="1" x14ac:dyDescent="0.25">
      <c r="A39" s="16" t="s">
        <v>62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>
        <f t="shared" ref="N39:N40" si="5">SUM(B39:M39)</f>
        <v>0</v>
      </c>
    </row>
    <row r="40" spans="1:26" ht="14.25" customHeight="1" x14ac:dyDescent="0.25">
      <c r="A40" s="16" t="s">
        <v>63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5">
        <f t="shared" si="5"/>
        <v>0</v>
      </c>
    </row>
    <row r="41" spans="1:26" ht="14.25" customHeight="1" x14ac:dyDescent="0.25">
      <c r="A41" s="14" t="s">
        <v>64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1:26" ht="14.25" customHeight="1" x14ac:dyDescent="0.25">
      <c r="A42" s="16" t="s">
        <v>65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>
        <f t="shared" ref="N42:N52" si="6">SUM(B42:M42)</f>
        <v>0</v>
      </c>
    </row>
    <row r="43" spans="1:26" ht="14.25" customHeight="1" x14ac:dyDescent="0.25">
      <c r="A43" s="16" t="s">
        <v>66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>
        <f t="shared" si="6"/>
        <v>0</v>
      </c>
    </row>
    <row r="44" spans="1:26" ht="14.25" customHeight="1" x14ac:dyDescent="0.25">
      <c r="A44" s="16" t="s">
        <v>67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>
        <f t="shared" si="6"/>
        <v>0</v>
      </c>
    </row>
    <row r="45" spans="1:26" ht="14.25" customHeight="1" x14ac:dyDescent="0.25">
      <c r="A45" s="16" t="s">
        <v>68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>
        <f t="shared" si="6"/>
        <v>0</v>
      </c>
    </row>
    <row r="46" spans="1:26" ht="14.25" customHeight="1" x14ac:dyDescent="0.25">
      <c r="A46" s="16" t="s">
        <v>69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>
        <f t="shared" si="6"/>
        <v>0</v>
      </c>
    </row>
    <row r="47" spans="1:26" ht="14.25" customHeight="1" x14ac:dyDescent="0.25">
      <c r="A47" s="16" t="s">
        <v>70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>
        <f t="shared" si="6"/>
        <v>0</v>
      </c>
    </row>
    <row r="48" spans="1:26" ht="14.25" customHeight="1" x14ac:dyDescent="0.25">
      <c r="A48" s="16" t="s">
        <v>71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>
        <f t="shared" si="6"/>
        <v>0</v>
      </c>
    </row>
    <row r="49" spans="1:14" ht="14.25" customHeight="1" x14ac:dyDescent="0.25">
      <c r="A49" s="16" t="s">
        <v>72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>
        <f t="shared" si="6"/>
        <v>0</v>
      </c>
    </row>
    <row r="50" spans="1:14" ht="14.25" customHeight="1" x14ac:dyDescent="0.25">
      <c r="A50" s="16" t="s">
        <v>73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>
        <f t="shared" si="6"/>
        <v>0</v>
      </c>
    </row>
    <row r="51" spans="1:14" ht="14.25" customHeight="1" x14ac:dyDescent="0.25">
      <c r="A51" s="16" t="s">
        <v>74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>
        <f t="shared" si="6"/>
        <v>0</v>
      </c>
    </row>
    <row r="52" spans="1:14" ht="14.25" customHeight="1" x14ac:dyDescent="0.25">
      <c r="A52" s="16" t="s">
        <v>75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>
        <f t="shared" si="6"/>
        <v>0</v>
      </c>
    </row>
    <row r="53" spans="1:14" ht="14.25" customHeight="1" x14ac:dyDescent="0.25">
      <c r="A53" s="14" t="s">
        <v>76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ht="14.25" customHeight="1" x14ac:dyDescent="0.25">
      <c r="A54" s="16" t="s">
        <v>77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>
        <f t="shared" ref="N54:N98" si="7">SUM(B54:M54)</f>
        <v>0</v>
      </c>
    </row>
    <row r="55" spans="1:14" ht="14.25" customHeight="1" x14ac:dyDescent="0.25">
      <c r="A55" s="16" t="s">
        <v>78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>
        <f t="shared" si="7"/>
        <v>0</v>
      </c>
    </row>
    <row r="56" spans="1:14" ht="14.25" customHeight="1" x14ac:dyDescent="0.25">
      <c r="A56" s="16" t="s">
        <v>79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>
        <f t="shared" si="7"/>
        <v>0</v>
      </c>
    </row>
    <row r="57" spans="1:14" ht="14.25" customHeight="1" x14ac:dyDescent="0.25">
      <c r="A57" s="16" t="s">
        <v>80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>
        <f t="shared" si="7"/>
        <v>0</v>
      </c>
    </row>
    <row r="58" spans="1:14" ht="14.25" customHeight="1" x14ac:dyDescent="0.25">
      <c r="A58" s="16" t="s">
        <v>81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>
        <f t="shared" si="7"/>
        <v>0</v>
      </c>
    </row>
    <row r="59" spans="1:14" ht="14.25" customHeight="1" x14ac:dyDescent="0.25">
      <c r="A59" s="16" t="s">
        <v>82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>
        <f t="shared" si="7"/>
        <v>0</v>
      </c>
    </row>
    <row r="60" spans="1:14" ht="14.25" customHeight="1" x14ac:dyDescent="0.25">
      <c r="A60" s="16" t="s">
        <v>83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>
        <f t="shared" si="7"/>
        <v>0</v>
      </c>
    </row>
    <row r="61" spans="1:14" ht="14.25" customHeight="1" x14ac:dyDescent="0.25">
      <c r="A61" s="16" t="s">
        <v>84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>
        <f t="shared" si="7"/>
        <v>0</v>
      </c>
    </row>
    <row r="62" spans="1:14" ht="14.25" customHeight="1" x14ac:dyDescent="0.25">
      <c r="A62" s="16" t="s">
        <v>85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>
        <f t="shared" si="7"/>
        <v>0</v>
      </c>
    </row>
    <row r="63" spans="1:14" ht="14.25" customHeight="1" x14ac:dyDescent="0.25">
      <c r="A63" s="16" t="s">
        <v>86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>
        <f t="shared" si="7"/>
        <v>0</v>
      </c>
    </row>
    <row r="64" spans="1:14" ht="14.25" customHeight="1" x14ac:dyDescent="0.25">
      <c r="A64" s="16" t="s">
        <v>87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>
        <f t="shared" si="7"/>
        <v>0</v>
      </c>
    </row>
    <row r="65" spans="1:26" s="104" customFormat="1" ht="14.25" customHeight="1" x14ac:dyDescent="0.25">
      <c r="A65" s="143" t="s">
        <v>88</v>
      </c>
      <c r="B65" s="144">
        <v>850</v>
      </c>
      <c r="C65" s="144">
        <v>300</v>
      </c>
      <c r="D65" s="144">
        <v>300</v>
      </c>
      <c r="E65" s="144">
        <v>300</v>
      </c>
      <c r="F65" s="144">
        <v>300</v>
      </c>
      <c r="G65" s="144">
        <v>300</v>
      </c>
      <c r="H65" s="144">
        <v>300</v>
      </c>
      <c r="I65" s="144">
        <v>300</v>
      </c>
      <c r="J65" s="144">
        <v>300</v>
      </c>
      <c r="K65" s="144">
        <v>300</v>
      </c>
      <c r="L65" s="144">
        <v>300</v>
      </c>
      <c r="M65" s="144">
        <v>300</v>
      </c>
      <c r="N65" s="145">
        <f t="shared" si="7"/>
        <v>4150</v>
      </c>
      <c r="O65" s="145">
        <f>Master!O73</f>
        <v>5360.14</v>
      </c>
      <c r="P65" s="145">
        <f>Master!P73</f>
        <v>5448</v>
      </c>
      <c r="Q65" s="145">
        <f>Master!Q73</f>
        <v>-1210.1400000000003</v>
      </c>
      <c r="R65" s="146" t="s">
        <v>206</v>
      </c>
      <c r="S65" s="143"/>
      <c r="T65" s="143"/>
      <c r="U65" s="143"/>
      <c r="V65" s="143"/>
      <c r="W65" s="143"/>
      <c r="X65" s="143"/>
      <c r="Y65" s="143"/>
      <c r="Z65" s="143"/>
    </row>
    <row r="66" spans="1:26" ht="14.25" customHeight="1" x14ac:dyDescent="0.25">
      <c r="A66" s="16" t="s">
        <v>89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>
        <f t="shared" si="7"/>
        <v>0</v>
      </c>
    </row>
    <row r="67" spans="1:26" ht="14.25" customHeight="1" x14ac:dyDescent="0.25">
      <c r="A67" s="16" t="s">
        <v>90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>
        <f t="shared" si="7"/>
        <v>0</v>
      </c>
    </row>
    <row r="68" spans="1:26" ht="14.25" customHeight="1" x14ac:dyDescent="0.25">
      <c r="A68" s="16" t="s">
        <v>91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>
        <f t="shared" si="7"/>
        <v>0</v>
      </c>
    </row>
    <row r="69" spans="1:26" ht="14.25" customHeight="1" x14ac:dyDescent="0.25">
      <c r="A69" s="16" t="s">
        <v>92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>
        <f t="shared" si="7"/>
        <v>0</v>
      </c>
    </row>
    <row r="70" spans="1:26" ht="14.25" customHeight="1" x14ac:dyDescent="0.25">
      <c r="A70" s="16" t="s">
        <v>93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>
        <f t="shared" si="7"/>
        <v>0</v>
      </c>
    </row>
    <row r="71" spans="1:26" ht="14.25" customHeight="1" x14ac:dyDescent="0.25">
      <c r="A71" s="16" t="s">
        <v>94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>
        <f t="shared" si="7"/>
        <v>0</v>
      </c>
    </row>
    <row r="72" spans="1:26" ht="14.25" customHeight="1" x14ac:dyDescent="0.25">
      <c r="A72" s="16" t="s">
        <v>95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>
        <f t="shared" si="7"/>
        <v>0</v>
      </c>
    </row>
    <row r="73" spans="1:26" ht="14.25" customHeight="1" x14ac:dyDescent="0.25">
      <c r="A73" s="16" t="s">
        <v>96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>
        <f t="shared" si="7"/>
        <v>0</v>
      </c>
    </row>
    <row r="74" spans="1:26" ht="14.25" customHeight="1" x14ac:dyDescent="0.25">
      <c r="A74" s="16" t="s">
        <v>97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>
        <f t="shared" si="7"/>
        <v>0</v>
      </c>
    </row>
    <row r="75" spans="1:26" ht="14.25" customHeight="1" x14ac:dyDescent="0.25">
      <c r="A75" s="16" t="s">
        <v>98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>
        <f t="shared" si="7"/>
        <v>0</v>
      </c>
    </row>
    <row r="76" spans="1:26" ht="14.25" customHeight="1" x14ac:dyDescent="0.25">
      <c r="A76" s="16" t="s">
        <v>99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>
        <f t="shared" si="7"/>
        <v>0</v>
      </c>
    </row>
    <row r="77" spans="1:26" ht="14.25" customHeight="1" x14ac:dyDescent="0.25">
      <c r="A77" s="16" t="s">
        <v>100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>
        <f t="shared" si="7"/>
        <v>0</v>
      </c>
    </row>
    <row r="78" spans="1:26" ht="14.25" customHeight="1" x14ac:dyDescent="0.25">
      <c r="A78" s="16" t="s">
        <v>101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>
        <f t="shared" si="7"/>
        <v>0</v>
      </c>
    </row>
    <row r="79" spans="1:26" ht="14.25" customHeight="1" x14ac:dyDescent="0.25">
      <c r="A79" s="16" t="s">
        <v>102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>
        <f t="shared" si="7"/>
        <v>0</v>
      </c>
    </row>
    <row r="80" spans="1:26" ht="14.25" customHeight="1" x14ac:dyDescent="0.25">
      <c r="A80" s="16" t="s">
        <v>103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>
        <f t="shared" si="7"/>
        <v>0</v>
      </c>
    </row>
    <row r="81" spans="1:26" ht="14.25" customHeight="1" x14ac:dyDescent="0.25">
      <c r="A81" s="16" t="s">
        <v>104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>
        <f t="shared" si="7"/>
        <v>0</v>
      </c>
    </row>
    <row r="82" spans="1:26" ht="14.25" customHeight="1" x14ac:dyDescent="0.25">
      <c r="A82" s="16" t="s">
        <v>105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>
        <f t="shared" si="7"/>
        <v>0</v>
      </c>
    </row>
    <row r="83" spans="1:26" ht="14.25" customHeight="1" x14ac:dyDescent="0.25">
      <c r="A83" s="16" t="s">
        <v>106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>
        <f t="shared" si="7"/>
        <v>0</v>
      </c>
    </row>
    <row r="84" spans="1:26" ht="14.25" customHeight="1" x14ac:dyDescent="0.25">
      <c r="A84" s="16" t="s">
        <v>107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>
        <f t="shared" si="7"/>
        <v>0</v>
      </c>
    </row>
    <row r="85" spans="1:26" ht="14.25" customHeight="1" x14ac:dyDescent="0.25">
      <c r="A85" s="16" t="s">
        <v>108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>
        <f t="shared" si="7"/>
        <v>0</v>
      </c>
    </row>
    <row r="86" spans="1:26" s="104" customFormat="1" ht="31.5" customHeight="1" x14ac:dyDescent="0.25">
      <c r="A86" s="143" t="s">
        <v>109</v>
      </c>
      <c r="B86" s="144">
        <v>60</v>
      </c>
      <c r="C86" s="144">
        <v>60</v>
      </c>
      <c r="D86" s="144">
        <v>60</v>
      </c>
      <c r="E86" s="144">
        <v>60</v>
      </c>
      <c r="F86" s="144">
        <v>60</v>
      </c>
      <c r="G86" s="144">
        <v>60</v>
      </c>
      <c r="H86" s="144">
        <v>60</v>
      </c>
      <c r="I86" s="144">
        <v>60</v>
      </c>
      <c r="J86" s="144">
        <v>60</v>
      </c>
      <c r="K86" s="144">
        <v>60</v>
      </c>
      <c r="L86" s="144">
        <v>60</v>
      </c>
      <c r="M86" s="144">
        <v>60</v>
      </c>
      <c r="N86" s="145">
        <f t="shared" si="7"/>
        <v>720</v>
      </c>
      <c r="O86" s="145">
        <f>Master!O95</f>
        <v>7466.64</v>
      </c>
      <c r="P86" s="145">
        <f>Master!P95</f>
        <v>6926</v>
      </c>
      <c r="Q86" s="145">
        <f>Master!Q95</f>
        <v>-6746.64</v>
      </c>
      <c r="R86" s="148" t="s">
        <v>205</v>
      </c>
      <c r="S86" s="143"/>
      <c r="T86" s="143"/>
      <c r="U86" s="143"/>
      <c r="V86" s="143"/>
      <c r="W86" s="143"/>
      <c r="X86" s="143"/>
      <c r="Y86" s="143"/>
      <c r="Z86" s="143"/>
    </row>
    <row r="87" spans="1:26" ht="14.25" customHeight="1" x14ac:dyDescent="0.25">
      <c r="A87" s="16" t="s">
        <v>110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>
        <f t="shared" si="7"/>
        <v>0</v>
      </c>
    </row>
    <row r="88" spans="1:26" ht="14.25" customHeight="1" x14ac:dyDescent="0.25">
      <c r="A88" s="16" t="s">
        <v>111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>
        <f t="shared" si="7"/>
        <v>0</v>
      </c>
    </row>
    <row r="89" spans="1:26" ht="14.25" customHeight="1" x14ac:dyDescent="0.25">
      <c r="A89" s="16" t="s">
        <v>112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>
        <f t="shared" si="7"/>
        <v>0</v>
      </c>
    </row>
    <row r="90" spans="1:26" ht="14.25" customHeight="1" x14ac:dyDescent="0.25">
      <c r="A90" s="16" t="s">
        <v>113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>
        <f t="shared" si="7"/>
        <v>0</v>
      </c>
    </row>
    <row r="91" spans="1:26" ht="14.25" customHeight="1" x14ac:dyDescent="0.25">
      <c r="A91" s="16" t="s">
        <v>114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>
        <f t="shared" si="7"/>
        <v>0</v>
      </c>
    </row>
    <row r="92" spans="1:26" ht="14.25" customHeight="1" x14ac:dyDescent="0.25">
      <c r="A92" s="16" t="s">
        <v>115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>
        <f t="shared" si="7"/>
        <v>0</v>
      </c>
    </row>
    <row r="93" spans="1:26" ht="14.25" customHeight="1" x14ac:dyDescent="0.25">
      <c r="A93" s="16" t="s">
        <v>116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>
        <f t="shared" si="7"/>
        <v>0</v>
      </c>
    </row>
    <row r="94" spans="1:26" ht="14.25" customHeight="1" x14ac:dyDescent="0.25">
      <c r="A94" s="16" t="s">
        <v>117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>
        <f t="shared" si="7"/>
        <v>0</v>
      </c>
    </row>
    <row r="95" spans="1:26" ht="14.25" customHeight="1" x14ac:dyDescent="0.25">
      <c r="A95" s="16" t="s">
        <v>118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>
        <f t="shared" si="7"/>
        <v>0</v>
      </c>
    </row>
    <row r="96" spans="1:26" s="104" customFormat="1" ht="14.25" customHeight="1" x14ac:dyDescent="0.25">
      <c r="A96" s="143" t="s">
        <v>119</v>
      </c>
      <c r="B96" s="144">
        <v>3000</v>
      </c>
      <c r="C96" s="145"/>
      <c r="D96" s="145"/>
      <c r="E96" s="145"/>
      <c r="F96" s="145"/>
      <c r="G96" s="145"/>
      <c r="H96" s="145"/>
      <c r="I96" s="145"/>
      <c r="J96" s="145"/>
      <c r="K96" s="145"/>
      <c r="L96" s="145"/>
      <c r="M96" s="145"/>
      <c r="N96" s="145">
        <f t="shared" si="7"/>
        <v>3000</v>
      </c>
      <c r="O96" s="145">
        <f>Master!O105</f>
        <v>0</v>
      </c>
      <c r="P96" s="145">
        <f>Master!P105</f>
        <v>250</v>
      </c>
      <c r="Q96" s="145">
        <f>Master!Q105</f>
        <v>3000</v>
      </c>
      <c r="R96" s="146" t="s">
        <v>207</v>
      </c>
      <c r="S96" s="143"/>
      <c r="T96" s="143"/>
      <c r="U96" s="143"/>
      <c r="V96" s="143"/>
      <c r="W96" s="143"/>
      <c r="X96" s="143"/>
      <c r="Y96" s="143"/>
      <c r="Z96" s="143"/>
    </row>
    <row r="97" spans="1:14" ht="14.25" customHeight="1" x14ac:dyDescent="0.25">
      <c r="A97" s="16" t="s">
        <v>120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>
        <f t="shared" si="7"/>
        <v>0</v>
      </c>
    </row>
    <row r="98" spans="1:14" ht="14.25" customHeight="1" x14ac:dyDescent="0.25">
      <c r="A98" s="16" t="s">
        <v>121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>
        <f t="shared" si="7"/>
        <v>0</v>
      </c>
    </row>
    <row r="99" spans="1:14" ht="14.25" customHeight="1" x14ac:dyDescent="0.25">
      <c r="A99" s="14" t="s">
        <v>122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</row>
    <row r="100" spans="1:14" ht="14.25" customHeight="1" x14ac:dyDescent="0.25">
      <c r="A100" s="16" t="s">
        <v>123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>
        <f t="shared" ref="N100:N104" si="8">SUM(B100:M100)</f>
        <v>0</v>
      </c>
    </row>
    <row r="101" spans="1:14" ht="14.25" customHeight="1" x14ac:dyDescent="0.25">
      <c r="A101" s="16" t="s">
        <v>124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>
        <f t="shared" si="8"/>
        <v>0</v>
      </c>
    </row>
    <row r="102" spans="1:14" ht="14.25" customHeight="1" x14ac:dyDescent="0.25">
      <c r="A102" s="16" t="s">
        <v>125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>
        <f t="shared" si="8"/>
        <v>0</v>
      </c>
    </row>
    <row r="103" spans="1:14" ht="14.25" customHeight="1" x14ac:dyDescent="0.25">
      <c r="A103" s="16" t="s">
        <v>126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>
        <f t="shared" si="8"/>
        <v>0</v>
      </c>
    </row>
    <row r="104" spans="1:14" ht="14.25" customHeight="1" x14ac:dyDescent="0.25">
      <c r="A104" s="16" t="s">
        <v>127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>
        <f t="shared" si="8"/>
        <v>0</v>
      </c>
    </row>
    <row r="105" spans="1:14" ht="14.25" customHeight="1" x14ac:dyDescent="0.25">
      <c r="A105" s="14" t="s">
        <v>128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</row>
    <row r="106" spans="1:14" ht="14.25" customHeight="1" x14ac:dyDescent="0.25">
      <c r="A106" s="16" t="s">
        <v>129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>
        <f t="shared" ref="N106:N115" si="9">SUM(B106:M106)</f>
        <v>0</v>
      </c>
    </row>
    <row r="107" spans="1:14" ht="14.25" customHeight="1" x14ac:dyDescent="0.25">
      <c r="A107" s="16" t="s">
        <v>130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>
        <f t="shared" si="9"/>
        <v>0</v>
      </c>
    </row>
    <row r="108" spans="1:14" ht="14.25" customHeight="1" x14ac:dyDescent="0.25">
      <c r="A108" s="16" t="s">
        <v>131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>
        <f t="shared" si="9"/>
        <v>0</v>
      </c>
    </row>
    <row r="109" spans="1:14" ht="14.25" customHeight="1" x14ac:dyDescent="0.25">
      <c r="A109" s="16" t="s">
        <v>132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>
        <f t="shared" si="9"/>
        <v>0</v>
      </c>
    </row>
    <row r="110" spans="1:14" ht="14.25" customHeight="1" x14ac:dyDescent="0.25">
      <c r="A110" s="16" t="s">
        <v>133</v>
      </c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>
        <f t="shared" si="9"/>
        <v>0</v>
      </c>
    </row>
    <row r="111" spans="1:14" ht="14.25" customHeight="1" x14ac:dyDescent="0.25">
      <c r="A111" s="16" t="s">
        <v>134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>
        <f t="shared" si="9"/>
        <v>0</v>
      </c>
    </row>
    <row r="112" spans="1:14" ht="14.25" customHeight="1" x14ac:dyDescent="0.25">
      <c r="A112" s="16" t="s">
        <v>135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>
        <f t="shared" si="9"/>
        <v>0</v>
      </c>
    </row>
    <row r="113" spans="1:26" ht="14.25" customHeight="1" x14ac:dyDescent="0.25">
      <c r="A113" s="16" t="s">
        <v>40</v>
      </c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>
        <f t="shared" si="9"/>
        <v>0</v>
      </c>
    </row>
    <row r="114" spans="1:26" ht="14.25" customHeight="1" x14ac:dyDescent="0.25">
      <c r="A114" s="16" t="s">
        <v>136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>
        <f t="shared" si="9"/>
        <v>0</v>
      </c>
    </row>
    <row r="115" spans="1:26" ht="14.25" customHeight="1" x14ac:dyDescent="0.25">
      <c r="A115" s="16" t="s">
        <v>137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>
        <f t="shared" si="9"/>
        <v>0</v>
      </c>
    </row>
    <row r="116" spans="1:26" ht="14.25" customHeight="1" x14ac:dyDescent="0.25">
      <c r="A116" s="14" t="s">
        <v>138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</row>
    <row r="117" spans="1:26" s="104" customFormat="1" ht="14.25" customHeight="1" x14ac:dyDescent="0.25">
      <c r="A117" s="143" t="s">
        <v>139</v>
      </c>
      <c r="B117" s="144"/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5">
        <f t="shared" ref="N117:N129" si="10">SUM(B117:M117)</f>
        <v>0</v>
      </c>
      <c r="O117" s="145">
        <f>Master!O130</f>
        <v>0</v>
      </c>
      <c r="P117" s="145">
        <f>Master!P130</f>
        <v>600</v>
      </c>
      <c r="Q117" s="145">
        <f>Master!Q130</f>
        <v>0</v>
      </c>
      <c r="R117" s="146" t="s">
        <v>208</v>
      </c>
      <c r="S117" s="143"/>
      <c r="T117" s="143"/>
      <c r="U117" s="143"/>
      <c r="V117" s="143"/>
      <c r="W117" s="143"/>
      <c r="X117" s="143"/>
      <c r="Y117" s="143"/>
      <c r="Z117" s="143"/>
    </row>
    <row r="118" spans="1:26" s="104" customFormat="1" ht="30.75" customHeight="1" x14ac:dyDescent="0.25">
      <c r="A118" s="147" t="s">
        <v>152</v>
      </c>
      <c r="B118" s="145"/>
      <c r="C118" s="145"/>
      <c r="D118" s="145"/>
      <c r="E118" s="145"/>
      <c r="F118" s="145"/>
      <c r="G118" s="145"/>
      <c r="H118" s="145"/>
      <c r="I118" s="144">
        <v>500</v>
      </c>
      <c r="J118" s="144">
        <v>1650</v>
      </c>
      <c r="K118" s="144"/>
      <c r="L118" s="145"/>
      <c r="M118" s="145"/>
      <c r="N118" s="145">
        <f t="shared" si="10"/>
        <v>2150</v>
      </c>
      <c r="O118" s="145">
        <f>Master!O131</f>
        <v>1996.5</v>
      </c>
      <c r="P118" s="145">
        <f>Master!P131</f>
        <v>2150</v>
      </c>
      <c r="Q118" s="145">
        <f>Master!Q131</f>
        <v>153.5</v>
      </c>
      <c r="R118" s="148" t="s">
        <v>209</v>
      </c>
      <c r="S118" s="143"/>
      <c r="T118" s="143"/>
      <c r="U118" s="143"/>
      <c r="V118" s="143"/>
      <c r="W118" s="143"/>
      <c r="X118" s="143"/>
      <c r="Y118" s="143"/>
      <c r="Z118" s="143"/>
    </row>
    <row r="119" spans="1:26" s="104" customFormat="1" ht="28.5" customHeight="1" x14ac:dyDescent="0.25">
      <c r="A119" s="143" t="s">
        <v>141</v>
      </c>
      <c r="B119" s="144">
        <v>560</v>
      </c>
      <c r="C119" s="144">
        <v>60</v>
      </c>
      <c r="D119" s="144">
        <v>60</v>
      </c>
      <c r="E119" s="144">
        <v>60</v>
      </c>
      <c r="F119" s="144">
        <v>60</v>
      </c>
      <c r="G119" s="144">
        <v>60</v>
      </c>
      <c r="H119" s="144">
        <v>60</v>
      </c>
      <c r="I119" s="144">
        <v>60</v>
      </c>
      <c r="J119" s="144">
        <v>60</v>
      </c>
      <c r="K119" s="144">
        <v>60</v>
      </c>
      <c r="L119" s="144">
        <v>60</v>
      </c>
      <c r="M119" s="144">
        <v>60</v>
      </c>
      <c r="N119" s="145">
        <f t="shared" si="10"/>
        <v>1220</v>
      </c>
      <c r="O119" s="145">
        <f>Master!O132</f>
        <v>89.55</v>
      </c>
      <c r="P119" s="145">
        <f>Master!P132</f>
        <v>620</v>
      </c>
      <c r="Q119" s="145">
        <f>Master!Q132</f>
        <v>1130.45</v>
      </c>
      <c r="R119" s="148" t="s">
        <v>209</v>
      </c>
      <c r="S119" s="143"/>
      <c r="T119" s="143"/>
      <c r="U119" s="143"/>
      <c r="V119" s="143"/>
      <c r="W119" s="143"/>
      <c r="X119" s="143"/>
      <c r="Y119" s="143"/>
      <c r="Z119" s="143"/>
    </row>
    <row r="120" spans="1:26" ht="14.25" customHeight="1" x14ac:dyDescent="0.25">
      <c r="A120" s="16" t="s">
        <v>142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>
        <f t="shared" si="10"/>
        <v>0</v>
      </c>
    </row>
    <row r="121" spans="1:26" ht="14.25" customHeight="1" x14ac:dyDescent="0.25">
      <c r="A121" s="16" t="s">
        <v>143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>
        <f t="shared" si="10"/>
        <v>0</v>
      </c>
    </row>
    <row r="122" spans="1:26" ht="14.25" customHeight="1" x14ac:dyDescent="0.25">
      <c r="A122" s="16" t="s">
        <v>144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>
        <f t="shared" si="10"/>
        <v>0</v>
      </c>
    </row>
    <row r="123" spans="1:26" ht="14.25" customHeight="1" x14ac:dyDescent="0.25">
      <c r="A123" s="16" t="s">
        <v>145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>
        <f t="shared" si="10"/>
        <v>0</v>
      </c>
    </row>
    <row r="124" spans="1:26" ht="14.25" customHeight="1" x14ac:dyDescent="0.25">
      <c r="A124" s="16" t="s">
        <v>146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>
        <f t="shared" si="10"/>
        <v>0</v>
      </c>
    </row>
    <row r="125" spans="1:26" ht="14.25" customHeight="1" x14ac:dyDescent="0.25">
      <c r="A125" s="16" t="s">
        <v>147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>
        <f t="shared" si="10"/>
        <v>0</v>
      </c>
    </row>
    <row r="126" spans="1:26" ht="14.25" customHeight="1" x14ac:dyDescent="0.25">
      <c r="A126" s="16" t="s">
        <v>148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>
        <f t="shared" si="10"/>
        <v>0</v>
      </c>
    </row>
    <row r="127" spans="1:26" ht="14.25" customHeight="1" x14ac:dyDescent="0.25">
      <c r="A127" s="16" t="s">
        <v>149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>
        <f t="shared" si="10"/>
        <v>0</v>
      </c>
    </row>
    <row r="128" spans="1:26" ht="14.25" customHeight="1" x14ac:dyDescent="0.25">
      <c r="A128" s="16" t="s">
        <v>150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>
        <f t="shared" si="10"/>
        <v>0</v>
      </c>
    </row>
    <row r="129" spans="1:17" ht="14.25" customHeight="1" x14ac:dyDescent="0.25">
      <c r="A129" s="16" t="s">
        <v>151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>
        <f t="shared" si="10"/>
        <v>0</v>
      </c>
    </row>
    <row r="130" spans="1:17" ht="14.25" customHeight="1" x14ac:dyDescent="0.25">
      <c r="A130" s="30" t="s">
        <v>203</v>
      </c>
      <c r="B130" s="31">
        <f>B29+B33+B37+B38</f>
        <v>3766</v>
      </c>
      <c r="C130" s="31">
        <f t="shared" ref="C130:P130" si="11">C29+C33+C37+C38</f>
        <v>3766</v>
      </c>
      <c r="D130" s="31">
        <f t="shared" si="11"/>
        <v>4015</v>
      </c>
      <c r="E130" s="31">
        <f t="shared" si="11"/>
        <v>4015</v>
      </c>
      <c r="F130" s="31">
        <f t="shared" si="11"/>
        <v>5800</v>
      </c>
      <c r="G130" s="31">
        <f t="shared" si="11"/>
        <v>5800</v>
      </c>
      <c r="H130" s="31">
        <f t="shared" si="11"/>
        <v>5800</v>
      </c>
      <c r="I130" s="31">
        <f t="shared" si="11"/>
        <v>5800</v>
      </c>
      <c r="J130" s="31">
        <f t="shared" si="11"/>
        <v>5800</v>
      </c>
      <c r="K130" s="31">
        <f t="shared" si="11"/>
        <v>5800</v>
      </c>
      <c r="L130" s="31">
        <f t="shared" si="11"/>
        <v>5800</v>
      </c>
      <c r="M130" s="31">
        <f t="shared" si="11"/>
        <v>29800</v>
      </c>
      <c r="N130" s="31">
        <f>N29+N33+N37+N38</f>
        <v>85962</v>
      </c>
      <c r="O130" s="31">
        <f t="shared" si="11"/>
        <v>85562</v>
      </c>
      <c r="P130" s="31">
        <f t="shared" si="11"/>
        <v>74028</v>
      </c>
      <c r="Q130" s="40">
        <f t="shared" ref="Q130:Q131" si="12">N130-O130</f>
        <v>400</v>
      </c>
    </row>
    <row r="131" spans="1:17" ht="14.25" customHeight="1" x14ac:dyDescent="0.25">
      <c r="A131" s="30" t="s">
        <v>204</v>
      </c>
      <c r="B131" s="31">
        <f>B65+B86+B96+B117+B118+B119</f>
        <v>4470</v>
      </c>
      <c r="C131" s="31">
        <f t="shared" ref="C131:P131" si="13">C65+C86+C96+C117+C118+C119</f>
        <v>420</v>
      </c>
      <c r="D131" s="31">
        <f t="shared" si="13"/>
        <v>420</v>
      </c>
      <c r="E131" s="31">
        <f t="shared" si="13"/>
        <v>420</v>
      </c>
      <c r="F131" s="31">
        <f t="shared" si="13"/>
        <v>420</v>
      </c>
      <c r="G131" s="31">
        <f t="shared" si="13"/>
        <v>420</v>
      </c>
      <c r="H131" s="31">
        <f t="shared" si="13"/>
        <v>420</v>
      </c>
      <c r="I131" s="31">
        <f t="shared" si="13"/>
        <v>920</v>
      </c>
      <c r="J131" s="31">
        <f t="shared" si="13"/>
        <v>2070</v>
      </c>
      <c r="K131" s="31">
        <f t="shared" si="13"/>
        <v>420</v>
      </c>
      <c r="L131" s="31">
        <f t="shared" si="13"/>
        <v>420</v>
      </c>
      <c r="M131" s="31">
        <f t="shared" si="13"/>
        <v>420</v>
      </c>
      <c r="N131" s="31">
        <f t="shared" si="13"/>
        <v>11240</v>
      </c>
      <c r="O131" s="31">
        <f t="shared" si="13"/>
        <v>14912.83</v>
      </c>
      <c r="P131" s="31">
        <f t="shared" si="13"/>
        <v>15994</v>
      </c>
      <c r="Q131" s="40">
        <f t="shared" si="12"/>
        <v>-3672.83</v>
      </c>
    </row>
    <row r="132" spans="1:17" s="39" customFormat="1" ht="14.25" customHeight="1" x14ac:dyDescent="0.25">
      <c r="A132" s="42" t="s">
        <v>174</v>
      </c>
      <c r="B132" s="31">
        <f>B130-B131</f>
        <v>-704</v>
      </c>
      <c r="C132" s="31">
        <f t="shared" ref="C132:N132" si="14">C130-C131</f>
        <v>3346</v>
      </c>
      <c r="D132" s="31">
        <f t="shared" si="14"/>
        <v>3595</v>
      </c>
      <c r="E132" s="31">
        <f t="shared" si="14"/>
        <v>3595</v>
      </c>
      <c r="F132" s="31">
        <f t="shared" si="14"/>
        <v>5380</v>
      </c>
      <c r="G132" s="31">
        <f t="shared" si="14"/>
        <v>5380</v>
      </c>
      <c r="H132" s="31">
        <f t="shared" si="14"/>
        <v>5380</v>
      </c>
      <c r="I132" s="31">
        <f t="shared" si="14"/>
        <v>4880</v>
      </c>
      <c r="J132" s="31">
        <f t="shared" si="14"/>
        <v>3730</v>
      </c>
      <c r="K132" s="31">
        <f t="shared" si="14"/>
        <v>5380</v>
      </c>
      <c r="L132" s="31">
        <f t="shared" si="14"/>
        <v>5380</v>
      </c>
      <c r="M132" s="31">
        <f t="shared" si="14"/>
        <v>29380</v>
      </c>
      <c r="N132" s="31">
        <f t="shared" si="14"/>
        <v>74722</v>
      </c>
      <c r="O132" s="31">
        <f>(O29+O30+O33+O37+O38)-(O65+O86+O96+O119)</f>
        <v>72645.67</v>
      </c>
      <c r="P132" s="31">
        <f>(P29+P30+P33+P37+P38)-(P65+P86+P96+P119)</f>
        <v>60784</v>
      </c>
      <c r="Q132" s="40">
        <f>N132-O132</f>
        <v>2076.3300000000017</v>
      </c>
    </row>
    <row r="133" spans="1:17" ht="14.25" customHeight="1" x14ac:dyDescent="0.25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</row>
    <row r="134" spans="1:17" ht="14.25" customHeight="1" x14ac:dyDescent="0.25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</row>
    <row r="135" spans="1:17" ht="14.25" customHeight="1" x14ac:dyDescent="0.25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</row>
    <row r="136" spans="1:17" ht="14.25" customHeight="1" x14ac:dyDescent="0.25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</row>
    <row r="137" spans="1:17" ht="14.25" customHeight="1" x14ac:dyDescent="0.25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</row>
    <row r="138" spans="1:17" ht="14.25" customHeight="1" x14ac:dyDescent="0.25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</row>
    <row r="139" spans="1:17" ht="14.25" customHeight="1" x14ac:dyDescent="0.25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</row>
    <row r="140" spans="1:17" ht="14.25" customHeight="1" x14ac:dyDescent="0.25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</row>
    <row r="141" spans="1:17" ht="14.25" customHeight="1" x14ac:dyDescent="0.25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</row>
    <row r="142" spans="1:17" ht="14.25" customHeight="1" x14ac:dyDescent="0.25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</row>
    <row r="143" spans="1:17" ht="14.25" customHeight="1" x14ac:dyDescent="0.25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</row>
    <row r="144" spans="1:17" ht="14.25" customHeight="1" x14ac:dyDescent="0.25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</row>
    <row r="145" spans="2:14" ht="14.25" customHeight="1" x14ac:dyDescent="0.25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</row>
    <row r="146" spans="2:14" ht="14.25" customHeight="1" x14ac:dyDescent="0.25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</row>
    <row r="147" spans="2:14" ht="14.25" customHeight="1" x14ac:dyDescent="0.25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</row>
    <row r="148" spans="2:14" ht="14.25" customHeight="1" x14ac:dyDescent="0.25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</row>
    <row r="149" spans="2:14" ht="14.25" customHeight="1" x14ac:dyDescent="0.25"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</row>
    <row r="150" spans="2:14" ht="14.25" customHeight="1" x14ac:dyDescent="0.25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</row>
    <row r="151" spans="2:14" ht="14.25" customHeight="1" x14ac:dyDescent="0.25"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</row>
    <row r="152" spans="2:14" ht="14.25" customHeight="1" x14ac:dyDescent="0.25"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</row>
    <row r="153" spans="2:14" ht="14.25" customHeight="1" x14ac:dyDescent="0.25"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</row>
    <row r="154" spans="2:14" ht="14.25" customHeight="1" x14ac:dyDescent="0.25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</row>
    <row r="155" spans="2:14" ht="14.25" customHeight="1" x14ac:dyDescent="0.25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</row>
    <row r="156" spans="2:14" ht="14.25" customHeight="1" x14ac:dyDescent="0.25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</row>
    <row r="157" spans="2:14" ht="14.25" customHeight="1" x14ac:dyDescent="0.25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</row>
    <row r="158" spans="2:14" ht="14.25" customHeight="1" x14ac:dyDescent="0.25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</row>
    <row r="159" spans="2:14" ht="14.25" customHeight="1" x14ac:dyDescent="0.25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</row>
    <row r="160" spans="2:14" ht="14.25" customHeight="1" x14ac:dyDescent="0.25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</row>
    <row r="161" spans="2:14" ht="14.25" customHeight="1" x14ac:dyDescent="0.25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</row>
    <row r="162" spans="2:14" ht="14.25" customHeight="1" x14ac:dyDescent="0.25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</row>
    <row r="163" spans="2:14" ht="14.25" customHeight="1" x14ac:dyDescent="0.25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</row>
    <row r="164" spans="2:14" ht="14.25" customHeight="1" x14ac:dyDescent="0.25"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</row>
    <row r="165" spans="2:14" ht="14.25" customHeight="1" x14ac:dyDescent="0.25"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</row>
    <row r="166" spans="2:14" ht="14.25" customHeight="1" x14ac:dyDescent="0.25"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</row>
    <row r="167" spans="2:14" ht="14.25" customHeight="1" x14ac:dyDescent="0.25"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</row>
    <row r="168" spans="2:14" ht="14.25" customHeight="1" x14ac:dyDescent="0.25"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</row>
    <row r="169" spans="2:14" ht="14.25" customHeight="1" x14ac:dyDescent="0.25"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</row>
    <row r="170" spans="2:14" ht="14.25" customHeight="1" x14ac:dyDescent="0.25"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</row>
    <row r="171" spans="2:14" ht="14.25" customHeight="1" x14ac:dyDescent="0.25"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</row>
    <row r="172" spans="2:14" ht="14.25" customHeight="1" x14ac:dyDescent="0.25"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</row>
    <row r="173" spans="2:14" ht="14.25" customHeight="1" x14ac:dyDescent="0.25"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</row>
    <row r="174" spans="2:14" ht="14.25" customHeight="1" x14ac:dyDescent="0.25"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</row>
    <row r="175" spans="2:14" ht="14.25" customHeight="1" x14ac:dyDescent="0.25"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</row>
    <row r="176" spans="2:14" ht="14.25" customHeight="1" x14ac:dyDescent="0.25"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</row>
    <row r="177" spans="2:14" ht="14.25" customHeight="1" x14ac:dyDescent="0.25"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</row>
    <row r="178" spans="2:14" ht="14.25" customHeight="1" x14ac:dyDescent="0.25"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</row>
    <row r="179" spans="2:14" ht="14.25" customHeight="1" x14ac:dyDescent="0.25"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</row>
    <row r="180" spans="2:14" ht="14.25" customHeight="1" x14ac:dyDescent="0.25"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</row>
    <row r="181" spans="2:14" ht="14.25" customHeight="1" x14ac:dyDescent="0.25"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</row>
    <row r="182" spans="2:14" ht="14.25" customHeight="1" x14ac:dyDescent="0.25"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</row>
    <row r="183" spans="2:14" ht="14.25" customHeight="1" x14ac:dyDescent="0.25"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</row>
    <row r="184" spans="2:14" ht="14.25" customHeight="1" x14ac:dyDescent="0.25"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</row>
    <row r="185" spans="2:14" ht="14.25" customHeight="1" x14ac:dyDescent="0.25"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</row>
    <row r="186" spans="2:14" ht="14.25" customHeight="1" x14ac:dyDescent="0.25"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</row>
    <row r="187" spans="2:14" ht="14.25" customHeight="1" x14ac:dyDescent="0.25"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</row>
    <row r="188" spans="2:14" ht="14.25" customHeight="1" x14ac:dyDescent="0.25"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</row>
    <row r="189" spans="2:14" ht="14.25" customHeight="1" x14ac:dyDescent="0.25"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</row>
    <row r="190" spans="2:14" ht="14.25" customHeight="1" x14ac:dyDescent="0.25"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</row>
    <row r="191" spans="2:14" ht="14.25" customHeight="1" x14ac:dyDescent="0.25"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</row>
    <row r="192" spans="2:14" ht="14.25" customHeight="1" x14ac:dyDescent="0.25"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</row>
    <row r="193" spans="2:14" ht="14.25" customHeight="1" x14ac:dyDescent="0.25"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</row>
    <row r="194" spans="2:14" ht="14.25" customHeight="1" x14ac:dyDescent="0.25"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</row>
    <row r="195" spans="2:14" ht="14.25" customHeight="1" x14ac:dyDescent="0.25"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</row>
    <row r="196" spans="2:14" ht="14.25" customHeight="1" x14ac:dyDescent="0.25"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</row>
    <row r="197" spans="2:14" ht="14.25" customHeight="1" x14ac:dyDescent="0.25"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</row>
    <row r="198" spans="2:14" ht="14.25" customHeight="1" x14ac:dyDescent="0.25"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</row>
    <row r="199" spans="2:14" ht="14.25" customHeight="1" x14ac:dyDescent="0.25"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</row>
    <row r="200" spans="2:14" ht="14.25" customHeight="1" x14ac:dyDescent="0.25"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</row>
    <row r="201" spans="2:14" ht="14.25" customHeight="1" x14ac:dyDescent="0.25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</row>
    <row r="202" spans="2:14" ht="14.25" customHeight="1" x14ac:dyDescent="0.25"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</row>
    <row r="203" spans="2:14" ht="14.25" customHeight="1" x14ac:dyDescent="0.25"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</row>
    <row r="204" spans="2:14" ht="14.25" customHeight="1" x14ac:dyDescent="0.25"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</row>
    <row r="205" spans="2:14" ht="14.25" customHeight="1" x14ac:dyDescent="0.25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</row>
    <row r="206" spans="2:14" ht="14.25" customHeight="1" x14ac:dyDescent="0.25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</row>
    <row r="207" spans="2:14" ht="14.25" customHeight="1" x14ac:dyDescent="0.25"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</row>
    <row r="208" spans="2:14" ht="14.25" customHeight="1" x14ac:dyDescent="0.25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</row>
    <row r="209" spans="2:14" ht="14.25" customHeight="1" x14ac:dyDescent="0.25"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</row>
    <row r="210" spans="2:14" ht="14.25" customHeight="1" x14ac:dyDescent="0.25"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</row>
    <row r="211" spans="2:14" ht="14.25" customHeight="1" x14ac:dyDescent="0.25"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</row>
    <row r="212" spans="2:14" ht="14.25" customHeight="1" x14ac:dyDescent="0.25"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</row>
    <row r="213" spans="2:14" ht="14.25" customHeight="1" x14ac:dyDescent="0.25"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</row>
    <row r="214" spans="2:14" ht="14.25" customHeight="1" x14ac:dyDescent="0.25"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</row>
    <row r="215" spans="2:14" ht="14.25" customHeight="1" x14ac:dyDescent="0.25"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</row>
    <row r="216" spans="2:14" ht="14.25" customHeight="1" x14ac:dyDescent="0.25"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</row>
    <row r="217" spans="2:14" ht="14.25" customHeight="1" x14ac:dyDescent="0.25"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</row>
    <row r="218" spans="2:14" ht="14.25" customHeight="1" x14ac:dyDescent="0.25"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</row>
    <row r="219" spans="2:14" ht="14.25" customHeight="1" x14ac:dyDescent="0.25"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</row>
    <row r="220" spans="2:14" ht="14.25" customHeight="1" x14ac:dyDescent="0.25"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</row>
    <row r="221" spans="2:14" ht="14.25" customHeight="1" x14ac:dyDescent="0.25"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</row>
    <row r="222" spans="2:14" ht="14.25" customHeight="1" x14ac:dyDescent="0.25"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</row>
    <row r="223" spans="2:14" ht="14.25" customHeight="1" x14ac:dyDescent="0.25"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</row>
    <row r="224" spans="2:14" ht="14.25" customHeight="1" x14ac:dyDescent="0.25"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</row>
    <row r="225" spans="2:14" ht="14.25" customHeight="1" x14ac:dyDescent="0.25"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</row>
    <row r="226" spans="2:14" ht="14.25" customHeight="1" x14ac:dyDescent="0.25"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</row>
    <row r="227" spans="2:14" ht="14.25" customHeight="1" x14ac:dyDescent="0.25"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</row>
    <row r="228" spans="2:14" ht="14.25" customHeight="1" x14ac:dyDescent="0.25"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</row>
    <row r="229" spans="2:14" ht="14.25" customHeight="1" x14ac:dyDescent="0.25"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</row>
    <row r="230" spans="2:14" ht="14.25" customHeight="1" x14ac:dyDescent="0.25"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</row>
    <row r="231" spans="2:14" ht="14.25" customHeight="1" x14ac:dyDescent="0.25"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</row>
    <row r="232" spans="2:14" ht="14.25" customHeight="1" x14ac:dyDescent="0.25"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</row>
    <row r="233" spans="2:14" ht="14.25" customHeight="1" x14ac:dyDescent="0.25"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</row>
    <row r="234" spans="2:14" ht="14.25" customHeight="1" x14ac:dyDescent="0.25"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</row>
    <row r="235" spans="2:14" ht="14.25" customHeight="1" x14ac:dyDescent="0.25"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</row>
    <row r="236" spans="2:14" ht="14.25" customHeight="1" x14ac:dyDescent="0.25"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</row>
    <row r="237" spans="2:14" ht="14.25" customHeight="1" x14ac:dyDescent="0.25"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</row>
    <row r="238" spans="2:14" ht="14.25" customHeight="1" x14ac:dyDescent="0.25"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</row>
    <row r="239" spans="2:14" ht="14.25" customHeight="1" x14ac:dyDescent="0.25"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</row>
    <row r="240" spans="2:14" ht="14.25" customHeight="1" x14ac:dyDescent="0.25"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</row>
    <row r="241" spans="2:14" ht="14.25" customHeight="1" x14ac:dyDescent="0.25"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</row>
    <row r="242" spans="2:14" ht="14.25" customHeight="1" x14ac:dyDescent="0.25"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</row>
    <row r="243" spans="2:14" ht="14.25" customHeight="1" x14ac:dyDescent="0.25"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</row>
    <row r="244" spans="2:14" ht="14.25" customHeight="1" x14ac:dyDescent="0.25"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</row>
    <row r="245" spans="2:14" ht="14.25" customHeight="1" x14ac:dyDescent="0.25"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</row>
    <row r="246" spans="2:14" ht="14.25" customHeight="1" x14ac:dyDescent="0.25"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</row>
    <row r="247" spans="2:14" ht="14.25" customHeight="1" x14ac:dyDescent="0.25"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</row>
    <row r="248" spans="2:14" ht="14.25" customHeight="1" x14ac:dyDescent="0.25"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</row>
    <row r="249" spans="2:14" ht="14.25" customHeight="1" x14ac:dyDescent="0.25"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</row>
    <row r="250" spans="2:14" ht="14.25" customHeight="1" x14ac:dyDescent="0.25"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</row>
    <row r="251" spans="2:14" ht="14.25" customHeight="1" x14ac:dyDescent="0.25"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</row>
    <row r="252" spans="2:14" ht="14.25" customHeight="1" x14ac:dyDescent="0.25"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</row>
    <row r="253" spans="2:14" ht="14.25" customHeight="1" x14ac:dyDescent="0.25"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</row>
    <row r="254" spans="2:14" ht="14.25" customHeight="1" x14ac:dyDescent="0.25"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</row>
    <row r="255" spans="2:14" ht="14.25" customHeight="1" x14ac:dyDescent="0.25"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</row>
    <row r="256" spans="2:14" ht="14.25" customHeight="1" x14ac:dyDescent="0.25"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</row>
    <row r="257" spans="2:14" ht="14.25" customHeight="1" x14ac:dyDescent="0.25"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</row>
    <row r="258" spans="2:14" ht="14.25" customHeight="1" x14ac:dyDescent="0.25"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</row>
    <row r="259" spans="2:14" ht="14.25" customHeight="1" x14ac:dyDescent="0.25"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</row>
    <row r="260" spans="2:14" ht="14.25" customHeight="1" x14ac:dyDescent="0.25"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</row>
    <row r="261" spans="2:14" ht="14.25" customHeight="1" x14ac:dyDescent="0.25"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</row>
    <row r="262" spans="2:14" ht="14.25" customHeight="1" x14ac:dyDescent="0.25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</row>
    <row r="263" spans="2:14" ht="14.25" customHeight="1" x14ac:dyDescent="0.25"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</row>
    <row r="264" spans="2:14" ht="14.25" customHeight="1" x14ac:dyDescent="0.25"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</row>
    <row r="265" spans="2:14" ht="14.25" customHeight="1" x14ac:dyDescent="0.25"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</row>
    <row r="266" spans="2:14" ht="14.25" customHeight="1" x14ac:dyDescent="0.25"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</row>
    <row r="267" spans="2:14" ht="14.25" customHeight="1" x14ac:dyDescent="0.25"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</row>
    <row r="268" spans="2:14" ht="14.25" customHeight="1" x14ac:dyDescent="0.25"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</row>
    <row r="269" spans="2:14" ht="14.25" customHeight="1" x14ac:dyDescent="0.25"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</row>
    <row r="270" spans="2:14" ht="14.25" customHeight="1" x14ac:dyDescent="0.25"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</row>
    <row r="271" spans="2:14" ht="14.25" customHeight="1" x14ac:dyDescent="0.25"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</row>
    <row r="272" spans="2:14" ht="14.25" customHeight="1" x14ac:dyDescent="0.25"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</row>
    <row r="273" spans="2:14" ht="14.25" customHeight="1" x14ac:dyDescent="0.25"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</row>
    <row r="274" spans="2:14" ht="14.25" customHeight="1" x14ac:dyDescent="0.25"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</row>
    <row r="275" spans="2:14" ht="14.25" customHeight="1" x14ac:dyDescent="0.25"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</row>
    <row r="276" spans="2:14" ht="14.25" customHeight="1" x14ac:dyDescent="0.25"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</row>
    <row r="277" spans="2:14" ht="14.25" customHeight="1" x14ac:dyDescent="0.25"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</row>
    <row r="278" spans="2:14" ht="14.25" customHeight="1" x14ac:dyDescent="0.25"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</row>
    <row r="279" spans="2:14" ht="14.25" customHeight="1" x14ac:dyDescent="0.25"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</row>
    <row r="280" spans="2:14" ht="14.25" customHeight="1" x14ac:dyDescent="0.25"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</row>
    <row r="281" spans="2:14" ht="14.25" customHeight="1" x14ac:dyDescent="0.25"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</row>
    <row r="282" spans="2:14" ht="14.25" customHeight="1" x14ac:dyDescent="0.25"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</row>
    <row r="283" spans="2:14" ht="14.25" customHeight="1" x14ac:dyDescent="0.25"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</row>
    <row r="284" spans="2:14" ht="14.25" customHeight="1" x14ac:dyDescent="0.25"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</row>
    <row r="285" spans="2:14" ht="14.25" customHeight="1" x14ac:dyDescent="0.25"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</row>
    <row r="286" spans="2:14" ht="14.25" customHeight="1" x14ac:dyDescent="0.25"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</row>
    <row r="287" spans="2:14" ht="14.25" customHeight="1" x14ac:dyDescent="0.25"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</row>
    <row r="288" spans="2:14" ht="14.25" customHeight="1" x14ac:dyDescent="0.25"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</row>
    <row r="289" spans="2:14" ht="14.25" customHeight="1" x14ac:dyDescent="0.25"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</row>
    <row r="290" spans="2:14" ht="14.25" customHeight="1" x14ac:dyDescent="0.25"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</row>
    <row r="291" spans="2:14" ht="14.25" customHeight="1" x14ac:dyDescent="0.25"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</row>
    <row r="292" spans="2:14" ht="14.25" customHeight="1" x14ac:dyDescent="0.25"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</row>
    <row r="293" spans="2:14" ht="14.25" customHeight="1" x14ac:dyDescent="0.25"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</row>
    <row r="294" spans="2:14" ht="14.25" customHeight="1" x14ac:dyDescent="0.25"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</row>
    <row r="295" spans="2:14" ht="14.25" customHeight="1" x14ac:dyDescent="0.25"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</row>
    <row r="296" spans="2:14" ht="14.25" customHeight="1" x14ac:dyDescent="0.25"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</row>
    <row r="297" spans="2:14" ht="14.25" customHeight="1" x14ac:dyDescent="0.25"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</row>
    <row r="298" spans="2:14" ht="14.25" customHeight="1" x14ac:dyDescent="0.25"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</row>
    <row r="299" spans="2:14" ht="14.25" customHeight="1" x14ac:dyDescent="0.25"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</row>
    <row r="300" spans="2:14" ht="14.25" customHeight="1" x14ac:dyDescent="0.25"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</row>
    <row r="301" spans="2:14" ht="14.25" customHeight="1" x14ac:dyDescent="0.25"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</row>
    <row r="302" spans="2:14" ht="14.25" customHeight="1" x14ac:dyDescent="0.25"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</row>
    <row r="303" spans="2:14" ht="14.25" customHeight="1" x14ac:dyDescent="0.25"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</row>
    <row r="304" spans="2:14" ht="14.25" customHeight="1" x14ac:dyDescent="0.25"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</row>
    <row r="305" spans="2:14" ht="14.25" customHeight="1" x14ac:dyDescent="0.25"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</row>
    <row r="306" spans="2:14" ht="14.25" customHeight="1" x14ac:dyDescent="0.25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</row>
    <row r="307" spans="2:14" ht="14.25" customHeight="1" x14ac:dyDescent="0.25"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</row>
    <row r="308" spans="2:14" ht="14.25" customHeight="1" x14ac:dyDescent="0.25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</row>
    <row r="309" spans="2:14" ht="14.25" customHeight="1" x14ac:dyDescent="0.25"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</row>
    <row r="310" spans="2:14" ht="14.25" customHeight="1" x14ac:dyDescent="0.25"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</row>
    <row r="311" spans="2:14" ht="14.25" customHeight="1" x14ac:dyDescent="0.25"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</row>
    <row r="312" spans="2:14" ht="14.25" customHeight="1" x14ac:dyDescent="0.25"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</row>
    <row r="313" spans="2:14" ht="14.25" customHeight="1" x14ac:dyDescent="0.25"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</row>
    <row r="314" spans="2:14" ht="14.25" customHeight="1" x14ac:dyDescent="0.25"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</row>
    <row r="315" spans="2:14" ht="14.25" customHeight="1" x14ac:dyDescent="0.25"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</row>
    <row r="316" spans="2:14" ht="14.25" customHeight="1" x14ac:dyDescent="0.25"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</row>
    <row r="317" spans="2:14" ht="14.25" customHeight="1" x14ac:dyDescent="0.25"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</row>
    <row r="318" spans="2:14" ht="14.25" customHeight="1" x14ac:dyDescent="0.25"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</row>
    <row r="319" spans="2:14" ht="14.25" customHeight="1" x14ac:dyDescent="0.25"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</row>
    <row r="320" spans="2:14" ht="14.25" customHeight="1" x14ac:dyDescent="0.25"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</row>
    <row r="321" spans="2:14" ht="14.25" customHeight="1" x14ac:dyDescent="0.25"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</row>
    <row r="322" spans="2:14" ht="14.25" customHeight="1" x14ac:dyDescent="0.25"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</row>
    <row r="323" spans="2:14" ht="14.25" customHeight="1" x14ac:dyDescent="0.25"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</row>
    <row r="324" spans="2:14" ht="14.25" customHeight="1" x14ac:dyDescent="0.25"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</row>
    <row r="325" spans="2:14" ht="14.25" customHeight="1" x14ac:dyDescent="0.25"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</row>
    <row r="326" spans="2:14" ht="14.25" customHeight="1" x14ac:dyDescent="0.25"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</row>
    <row r="327" spans="2:14" ht="14.25" customHeight="1" x14ac:dyDescent="0.25"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</row>
    <row r="328" spans="2:14" ht="14.25" customHeight="1" x14ac:dyDescent="0.25"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</row>
    <row r="329" spans="2:14" ht="14.25" customHeight="1" x14ac:dyDescent="0.25"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</row>
    <row r="330" spans="2:14" ht="14.25" customHeight="1" x14ac:dyDescent="0.25"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</row>
    <row r="331" spans="2:14" ht="14.25" customHeight="1" x14ac:dyDescent="0.25"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</row>
    <row r="332" spans="2:14" ht="14.25" customHeight="1" x14ac:dyDescent="0.25"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</row>
    <row r="333" spans="2:14" ht="14.25" customHeight="1" x14ac:dyDescent="0.25"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</row>
    <row r="334" spans="2:14" ht="14.25" customHeight="1" x14ac:dyDescent="0.25"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</row>
    <row r="335" spans="2:14" ht="14.25" customHeight="1" x14ac:dyDescent="0.25"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</row>
    <row r="336" spans="2:14" ht="14.25" customHeight="1" x14ac:dyDescent="0.25"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</row>
    <row r="337" spans="2:14" ht="14.25" customHeight="1" x14ac:dyDescent="0.25"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</row>
    <row r="338" spans="2:14" ht="14.25" customHeight="1" x14ac:dyDescent="0.25"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</row>
    <row r="339" spans="2:14" ht="14.25" customHeight="1" x14ac:dyDescent="0.25"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</row>
    <row r="340" spans="2:14" ht="14.25" customHeight="1" x14ac:dyDescent="0.25"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</row>
    <row r="341" spans="2:14" ht="14.25" customHeight="1" x14ac:dyDescent="0.25"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</row>
    <row r="342" spans="2:14" ht="14.25" customHeight="1" x14ac:dyDescent="0.25"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</row>
    <row r="343" spans="2:14" ht="14.25" customHeight="1" x14ac:dyDescent="0.25"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</row>
    <row r="344" spans="2:14" ht="14.25" customHeight="1" x14ac:dyDescent="0.25"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</row>
    <row r="345" spans="2:14" ht="14.25" customHeight="1" x14ac:dyDescent="0.25"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</row>
    <row r="346" spans="2:14" ht="14.25" customHeight="1" x14ac:dyDescent="0.25"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</row>
    <row r="347" spans="2:14" ht="14.25" customHeight="1" x14ac:dyDescent="0.25"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</row>
    <row r="348" spans="2:14" ht="14.25" customHeight="1" x14ac:dyDescent="0.25"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</row>
    <row r="349" spans="2:14" ht="14.25" customHeight="1" x14ac:dyDescent="0.25"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</row>
    <row r="350" spans="2:14" ht="14.25" customHeight="1" x14ac:dyDescent="0.25"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</row>
    <row r="351" spans="2:14" ht="14.25" customHeight="1" x14ac:dyDescent="0.25"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</row>
    <row r="352" spans="2:14" ht="14.25" customHeight="1" x14ac:dyDescent="0.25"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</row>
    <row r="353" spans="2:14" ht="14.25" customHeight="1" x14ac:dyDescent="0.25"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</row>
    <row r="354" spans="2:14" ht="14.25" customHeight="1" x14ac:dyDescent="0.25"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</row>
    <row r="355" spans="2:14" ht="14.25" customHeight="1" x14ac:dyDescent="0.25"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</row>
    <row r="356" spans="2:14" ht="14.25" customHeight="1" x14ac:dyDescent="0.25"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</row>
    <row r="357" spans="2:14" ht="14.25" customHeight="1" x14ac:dyDescent="0.25"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</row>
    <row r="358" spans="2:14" ht="14.25" customHeight="1" x14ac:dyDescent="0.25"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</row>
    <row r="359" spans="2:14" ht="14.25" customHeight="1" x14ac:dyDescent="0.25"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</row>
    <row r="360" spans="2:14" ht="14.25" customHeight="1" x14ac:dyDescent="0.25"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</row>
    <row r="361" spans="2:14" ht="14.25" customHeight="1" x14ac:dyDescent="0.25"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</row>
    <row r="362" spans="2:14" ht="14.25" customHeight="1" x14ac:dyDescent="0.25"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</row>
    <row r="363" spans="2:14" ht="14.25" customHeight="1" x14ac:dyDescent="0.25"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</row>
    <row r="364" spans="2:14" ht="14.25" customHeight="1" x14ac:dyDescent="0.25"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</row>
    <row r="365" spans="2:14" ht="14.25" customHeight="1" x14ac:dyDescent="0.25"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</row>
    <row r="366" spans="2:14" ht="14.25" customHeight="1" x14ac:dyDescent="0.25"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</row>
    <row r="367" spans="2:14" ht="14.25" customHeight="1" x14ac:dyDescent="0.25"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</row>
    <row r="368" spans="2:14" ht="14.25" customHeight="1" x14ac:dyDescent="0.25"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</row>
    <row r="369" spans="2:14" ht="14.25" customHeight="1" x14ac:dyDescent="0.25"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</row>
    <row r="370" spans="2:14" ht="14.25" customHeight="1" x14ac:dyDescent="0.25"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</row>
    <row r="371" spans="2:14" ht="14.25" customHeight="1" x14ac:dyDescent="0.25"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</row>
    <row r="372" spans="2:14" ht="14.25" customHeight="1" x14ac:dyDescent="0.25"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</row>
    <row r="373" spans="2:14" ht="14.25" customHeight="1" x14ac:dyDescent="0.25"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</row>
    <row r="374" spans="2:14" ht="14.25" customHeight="1" x14ac:dyDescent="0.25"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</row>
    <row r="375" spans="2:14" ht="14.25" customHeight="1" x14ac:dyDescent="0.25"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</row>
    <row r="376" spans="2:14" ht="14.25" customHeight="1" x14ac:dyDescent="0.25"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</row>
    <row r="377" spans="2:14" ht="14.25" customHeight="1" x14ac:dyDescent="0.25"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</row>
    <row r="378" spans="2:14" ht="14.25" customHeight="1" x14ac:dyDescent="0.25"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</row>
    <row r="379" spans="2:14" ht="14.25" customHeight="1" x14ac:dyDescent="0.25"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</row>
    <row r="380" spans="2:14" ht="14.25" customHeight="1" x14ac:dyDescent="0.25"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</row>
    <row r="381" spans="2:14" ht="14.25" customHeight="1" x14ac:dyDescent="0.25"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</row>
    <row r="382" spans="2:14" ht="14.25" customHeight="1" x14ac:dyDescent="0.25"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</row>
    <row r="383" spans="2:14" ht="14.25" customHeight="1" x14ac:dyDescent="0.25"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</row>
    <row r="384" spans="2:14" ht="14.25" customHeight="1" x14ac:dyDescent="0.25"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</row>
    <row r="385" spans="2:14" ht="14.25" customHeight="1" x14ac:dyDescent="0.25"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</row>
    <row r="386" spans="2:14" ht="14.25" customHeight="1" x14ac:dyDescent="0.25"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</row>
    <row r="387" spans="2:14" ht="14.25" customHeight="1" x14ac:dyDescent="0.25"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</row>
    <row r="388" spans="2:14" ht="14.25" customHeight="1" x14ac:dyDescent="0.25"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</row>
    <row r="389" spans="2:14" ht="14.25" customHeight="1" x14ac:dyDescent="0.25"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</row>
    <row r="390" spans="2:14" ht="14.25" customHeight="1" x14ac:dyDescent="0.25"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</row>
    <row r="391" spans="2:14" ht="14.25" customHeight="1" x14ac:dyDescent="0.25"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</row>
    <row r="392" spans="2:14" ht="14.25" customHeight="1" x14ac:dyDescent="0.25"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</row>
    <row r="393" spans="2:14" ht="14.25" customHeight="1" x14ac:dyDescent="0.25"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</row>
    <row r="394" spans="2:14" ht="14.25" customHeight="1" x14ac:dyDescent="0.25"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</row>
    <row r="395" spans="2:14" ht="14.25" customHeight="1" x14ac:dyDescent="0.25"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</row>
    <row r="396" spans="2:14" ht="14.25" customHeight="1" x14ac:dyDescent="0.25"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</row>
    <row r="397" spans="2:14" ht="14.25" customHeight="1" x14ac:dyDescent="0.25"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</row>
    <row r="398" spans="2:14" ht="14.25" customHeight="1" x14ac:dyDescent="0.25"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</row>
    <row r="399" spans="2:14" ht="14.25" customHeight="1" x14ac:dyDescent="0.25"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</row>
    <row r="400" spans="2:14" ht="14.25" customHeight="1" x14ac:dyDescent="0.25"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</row>
    <row r="401" spans="2:14" ht="14.25" customHeight="1" x14ac:dyDescent="0.25"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</row>
    <row r="402" spans="2:14" ht="14.25" customHeight="1" x14ac:dyDescent="0.25"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</row>
    <row r="403" spans="2:14" ht="14.25" customHeight="1" x14ac:dyDescent="0.25"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</row>
    <row r="404" spans="2:14" ht="14.25" customHeight="1" x14ac:dyDescent="0.25"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</row>
    <row r="405" spans="2:14" ht="14.25" customHeight="1" x14ac:dyDescent="0.25"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</row>
    <row r="406" spans="2:14" ht="14.25" customHeight="1" x14ac:dyDescent="0.25"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</row>
    <row r="407" spans="2:14" ht="14.25" customHeight="1" x14ac:dyDescent="0.25"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</row>
    <row r="408" spans="2:14" ht="14.25" customHeight="1" x14ac:dyDescent="0.25"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</row>
    <row r="409" spans="2:14" ht="14.25" customHeight="1" x14ac:dyDescent="0.25"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</row>
    <row r="410" spans="2:14" ht="14.25" customHeight="1" x14ac:dyDescent="0.25"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</row>
    <row r="411" spans="2:14" ht="14.25" customHeight="1" x14ac:dyDescent="0.25"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</row>
    <row r="412" spans="2:14" ht="14.25" customHeight="1" x14ac:dyDescent="0.25"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</row>
    <row r="413" spans="2:14" ht="14.25" customHeight="1" x14ac:dyDescent="0.25"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</row>
    <row r="414" spans="2:14" ht="14.25" customHeight="1" x14ac:dyDescent="0.25"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</row>
    <row r="415" spans="2:14" ht="14.25" customHeight="1" x14ac:dyDescent="0.25"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</row>
    <row r="416" spans="2:14" ht="14.25" customHeight="1" x14ac:dyDescent="0.25"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</row>
    <row r="417" spans="2:14" ht="14.25" customHeight="1" x14ac:dyDescent="0.25"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</row>
    <row r="418" spans="2:14" ht="14.25" customHeight="1" x14ac:dyDescent="0.25"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</row>
    <row r="419" spans="2:14" ht="14.25" customHeight="1" x14ac:dyDescent="0.25"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</row>
    <row r="420" spans="2:14" ht="14.25" customHeight="1" x14ac:dyDescent="0.25"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</row>
    <row r="421" spans="2:14" ht="14.25" customHeight="1" x14ac:dyDescent="0.25"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</row>
    <row r="422" spans="2:14" ht="14.25" customHeight="1" x14ac:dyDescent="0.25"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</row>
    <row r="423" spans="2:14" ht="14.25" customHeight="1" x14ac:dyDescent="0.25"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</row>
    <row r="424" spans="2:14" ht="14.25" customHeight="1" x14ac:dyDescent="0.25"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</row>
    <row r="425" spans="2:14" ht="14.25" customHeight="1" x14ac:dyDescent="0.25"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</row>
    <row r="426" spans="2:14" ht="14.25" customHeight="1" x14ac:dyDescent="0.25"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</row>
    <row r="427" spans="2:14" ht="14.25" customHeight="1" x14ac:dyDescent="0.25"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</row>
    <row r="428" spans="2:14" ht="14.25" customHeight="1" x14ac:dyDescent="0.25"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</row>
    <row r="429" spans="2:14" ht="14.25" customHeight="1" x14ac:dyDescent="0.25"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</row>
    <row r="430" spans="2:14" ht="14.25" customHeight="1" x14ac:dyDescent="0.25"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</row>
    <row r="431" spans="2:14" ht="14.25" customHeight="1" x14ac:dyDescent="0.25"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</row>
    <row r="432" spans="2:14" ht="14.25" customHeight="1" x14ac:dyDescent="0.25"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</row>
    <row r="433" spans="2:14" ht="14.25" customHeight="1" x14ac:dyDescent="0.25"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</row>
    <row r="434" spans="2:14" ht="14.25" customHeight="1" x14ac:dyDescent="0.25"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</row>
    <row r="435" spans="2:14" ht="14.25" customHeight="1" x14ac:dyDescent="0.25"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</row>
    <row r="436" spans="2:14" ht="14.25" customHeight="1" x14ac:dyDescent="0.25"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</row>
    <row r="437" spans="2:14" ht="14.25" customHeight="1" x14ac:dyDescent="0.25"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</row>
    <row r="438" spans="2:14" ht="14.25" customHeight="1" x14ac:dyDescent="0.25"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</row>
    <row r="439" spans="2:14" ht="14.25" customHeight="1" x14ac:dyDescent="0.25"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</row>
    <row r="440" spans="2:14" ht="14.25" customHeight="1" x14ac:dyDescent="0.25"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</row>
    <row r="441" spans="2:14" ht="14.25" customHeight="1" x14ac:dyDescent="0.25"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</row>
    <row r="442" spans="2:14" ht="14.25" customHeight="1" x14ac:dyDescent="0.25"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</row>
    <row r="443" spans="2:14" ht="14.25" customHeight="1" x14ac:dyDescent="0.25"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</row>
    <row r="444" spans="2:14" ht="14.25" customHeight="1" x14ac:dyDescent="0.25"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</row>
    <row r="445" spans="2:14" ht="14.25" customHeight="1" x14ac:dyDescent="0.25"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</row>
    <row r="446" spans="2:14" ht="14.25" customHeight="1" x14ac:dyDescent="0.25"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</row>
    <row r="447" spans="2:14" ht="14.25" customHeight="1" x14ac:dyDescent="0.25"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</row>
    <row r="448" spans="2:14" ht="14.25" customHeight="1" x14ac:dyDescent="0.25"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</row>
    <row r="449" spans="2:14" ht="14.25" customHeight="1" x14ac:dyDescent="0.25"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</row>
    <row r="450" spans="2:14" ht="14.25" customHeight="1" x14ac:dyDescent="0.25"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</row>
    <row r="451" spans="2:14" ht="14.25" customHeight="1" x14ac:dyDescent="0.25"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</row>
    <row r="452" spans="2:14" ht="14.25" customHeight="1" x14ac:dyDescent="0.25"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</row>
    <row r="453" spans="2:14" ht="14.25" customHeight="1" x14ac:dyDescent="0.25"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</row>
    <row r="454" spans="2:14" ht="14.25" customHeight="1" x14ac:dyDescent="0.25"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</row>
    <row r="455" spans="2:14" ht="14.25" customHeight="1" x14ac:dyDescent="0.25"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</row>
    <row r="456" spans="2:14" ht="14.25" customHeight="1" x14ac:dyDescent="0.25"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</row>
    <row r="457" spans="2:14" ht="14.25" customHeight="1" x14ac:dyDescent="0.25"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</row>
    <row r="458" spans="2:14" ht="14.25" customHeight="1" x14ac:dyDescent="0.25"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</row>
    <row r="459" spans="2:14" ht="14.25" customHeight="1" x14ac:dyDescent="0.25"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</row>
    <row r="460" spans="2:14" ht="14.25" customHeight="1" x14ac:dyDescent="0.25"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</row>
    <row r="461" spans="2:14" ht="14.25" customHeight="1" x14ac:dyDescent="0.25"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</row>
    <row r="462" spans="2:14" ht="14.25" customHeight="1" x14ac:dyDescent="0.25"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</row>
    <row r="463" spans="2:14" ht="14.25" customHeight="1" x14ac:dyDescent="0.25"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</row>
    <row r="464" spans="2:14" ht="14.25" customHeight="1" x14ac:dyDescent="0.25"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</row>
    <row r="465" spans="2:14" ht="14.25" customHeight="1" x14ac:dyDescent="0.25"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</row>
    <row r="466" spans="2:14" ht="14.25" customHeight="1" x14ac:dyDescent="0.25"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</row>
    <row r="467" spans="2:14" ht="14.25" customHeight="1" x14ac:dyDescent="0.25"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</row>
    <row r="468" spans="2:14" ht="14.25" customHeight="1" x14ac:dyDescent="0.25"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</row>
    <row r="469" spans="2:14" ht="14.25" customHeight="1" x14ac:dyDescent="0.25"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</row>
    <row r="470" spans="2:14" ht="14.25" customHeight="1" x14ac:dyDescent="0.25"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</row>
    <row r="471" spans="2:14" ht="14.25" customHeight="1" x14ac:dyDescent="0.25"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</row>
    <row r="472" spans="2:14" ht="14.25" customHeight="1" x14ac:dyDescent="0.25"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</row>
    <row r="473" spans="2:14" ht="14.25" customHeight="1" x14ac:dyDescent="0.25"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</row>
    <row r="474" spans="2:14" ht="14.25" customHeight="1" x14ac:dyDescent="0.25"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</row>
    <row r="475" spans="2:14" ht="14.25" customHeight="1" x14ac:dyDescent="0.25"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</row>
    <row r="476" spans="2:14" ht="14.25" customHeight="1" x14ac:dyDescent="0.25"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</row>
    <row r="477" spans="2:14" ht="14.25" customHeight="1" x14ac:dyDescent="0.25"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</row>
    <row r="478" spans="2:14" ht="14.25" customHeight="1" x14ac:dyDescent="0.25"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</row>
    <row r="479" spans="2:14" ht="14.25" customHeight="1" x14ac:dyDescent="0.25"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</row>
    <row r="480" spans="2:14" ht="14.25" customHeight="1" x14ac:dyDescent="0.25"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</row>
    <row r="481" spans="2:14" ht="14.25" customHeight="1" x14ac:dyDescent="0.25"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</row>
    <row r="482" spans="2:14" ht="14.25" customHeight="1" x14ac:dyDescent="0.25"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</row>
    <row r="483" spans="2:14" ht="14.25" customHeight="1" x14ac:dyDescent="0.25"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</row>
    <row r="484" spans="2:14" ht="14.25" customHeight="1" x14ac:dyDescent="0.25"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</row>
    <row r="485" spans="2:14" ht="14.25" customHeight="1" x14ac:dyDescent="0.25"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</row>
    <row r="486" spans="2:14" ht="14.25" customHeight="1" x14ac:dyDescent="0.25"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</row>
    <row r="487" spans="2:14" ht="14.25" customHeight="1" x14ac:dyDescent="0.25"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</row>
    <row r="488" spans="2:14" ht="14.25" customHeight="1" x14ac:dyDescent="0.25"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</row>
    <row r="489" spans="2:14" ht="14.25" customHeight="1" x14ac:dyDescent="0.25"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</row>
    <row r="490" spans="2:14" ht="14.25" customHeight="1" x14ac:dyDescent="0.25"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</row>
    <row r="491" spans="2:14" ht="14.25" customHeight="1" x14ac:dyDescent="0.25"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</row>
    <row r="492" spans="2:14" ht="14.25" customHeight="1" x14ac:dyDescent="0.25"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</row>
    <row r="493" spans="2:14" ht="14.25" customHeight="1" x14ac:dyDescent="0.25"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</row>
    <row r="494" spans="2:14" ht="14.25" customHeight="1" x14ac:dyDescent="0.25"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</row>
    <row r="495" spans="2:14" ht="14.25" customHeight="1" x14ac:dyDescent="0.25"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</row>
    <row r="496" spans="2:14" ht="14.25" customHeight="1" x14ac:dyDescent="0.25"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</row>
    <row r="497" spans="2:14" ht="14.25" customHeight="1" x14ac:dyDescent="0.25"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</row>
    <row r="498" spans="2:14" ht="14.25" customHeight="1" x14ac:dyDescent="0.25"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</row>
    <row r="499" spans="2:14" ht="14.25" customHeight="1" x14ac:dyDescent="0.25"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</row>
    <row r="500" spans="2:14" ht="14.25" customHeight="1" x14ac:dyDescent="0.25"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</row>
    <row r="501" spans="2:14" ht="14.25" customHeight="1" x14ac:dyDescent="0.25"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</row>
    <row r="502" spans="2:14" ht="14.25" customHeight="1" x14ac:dyDescent="0.25"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</row>
    <row r="503" spans="2:14" ht="14.25" customHeight="1" x14ac:dyDescent="0.25"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</row>
    <row r="504" spans="2:14" ht="14.25" customHeight="1" x14ac:dyDescent="0.25"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</row>
    <row r="505" spans="2:14" ht="14.25" customHeight="1" x14ac:dyDescent="0.25"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</row>
    <row r="506" spans="2:14" ht="14.25" customHeight="1" x14ac:dyDescent="0.25"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</row>
    <row r="507" spans="2:14" ht="14.25" customHeight="1" x14ac:dyDescent="0.25"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</row>
    <row r="508" spans="2:14" ht="14.25" customHeight="1" x14ac:dyDescent="0.25"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</row>
    <row r="509" spans="2:14" ht="14.25" customHeight="1" x14ac:dyDescent="0.25"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</row>
    <row r="510" spans="2:14" ht="14.25" customHeight="1" x14ac:dyDescent="0.25"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</row>
    <row r="511" spans="2:14" ht="14.25" customHeight="1" x14ac:dyDescent="0.25"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</row>
    <row r="512" spans="2:14" ht="14.25" customHeight="1" x14ac:dyDescent="0.25"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</row>
    <row r="513" spans="2:14" ht="14.25" customHeight="1" x14ac:dyDescent="0.25"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</row>
    <row r="514" spans="2:14" ht="14.25" customHeight="1" x14ac:dyDescent="0.25"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</row>
    <row r="515" spans="2:14" ht="14.25" customHeight="1" x14ac:dyDescent="0.25"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</row>
    <row r="516" spans="2:14" ht="14.25" customHeight="1" x14ac:dyDescent="0.25"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</row>
    <row r="517" spans="2:14" ht="14.25" customHeight="1" x14ac:dyDescent="0.25"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</row>
    <row r="518" spans="2:14" ht="14.25" customHeight="1" x14ac:dyDescent="0.25"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</row>
    <row r="519" spans="2:14" ht="14.25" customHeight="1" x14ac:dyDescent="0.25"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</row>
    <row r="520" spans="2:14" ht="14.25" customHeight="1" x14ac:dyDescent="0.25"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</row>
    <row r="521" spans="2:14" ht="14.25" customHeight="1" x14ac:dyDescent="0.25"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</row>
    <row r="522" spans="2:14" ht="14.25" customHeight="1" x14ac:dyDescent="0.25"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</row>
    <row r="523" spans="2:14" ht="14.25" customHeight="1" x14ac:dyDescent="0.25"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</row>
    <row r="524" spans="2:14" ht="14.25" customHeight="1" x14ac:dyDescent="0.25"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</row>
    <row r="525" spans="2:14" ht="14.25" customHeight="1" x14ac:dyDescent="0.25"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</row>
    <row r="526" spans="2:14" ht="14.25" customHeight="1" x14ac:dyDescent="0.25"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</row>
    <row r="527" spans="2:14" ht="14.25" customHeight="1" x14ac:dyDescent="0.25"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</row>
    <row r="528" spans="2:14" ht="14.25" customHeight="1" x14ac:dyDescent="0.25"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</row>
    <row r="529" spans="2:14" ht="14.25" customHeight="1" x14ac:dyDescent="0.25"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</row>
    <row r="530" spans="2:14" ht="14.25" customHeight="1" x14ac:dyDescent="0.25"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</row>
    <row r="531" spans="2:14" ht="14.25" customHeight="1" x14ac:dyDescent="0.25"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</row>
    <row r="532" spans="2:14" ht="14.25" customHeight="1" x14ac:dyDescent="0.25"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</row>
    <row r="533" spans="2:14" ht="14.25" customHeight="1" x14ac:dyDescent="0.25"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</row>
    <row r="534" spans="2:14" ht="14.25" customHeight="1" x14ac:dyDescent="0.25"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</row>
    <row r="535" spans="2:14" ht="14.25" customHeight="1" x14ac:dyDescent="0.25"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</row>
    <row r="536" spans="2:14" ht="14.25" customHeight="1" x14ac:dyDescent="0.25"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</row>
    <row r="537" spans="2:14" ht="14.25" customHeight="1" x14ac:dyDescent="0.25"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</row>
    <row r="538" spans="2:14" ht="14.25" customHeight="1" x14ac:dyDescent="0.25"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</row>
    <row r="539" spans="2:14" ht="14.25" customHeight="1" x14ac:dyDescent="0.25"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</row>
    <row r="540" spans="2:14" ht="14.25" customHeight="1" x14ac:dyDescent="0.25"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</row>
    <row r="541" spans="2:14" ht="14.25" customHeight="1" x14ac:dyDescent="0.25"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</row>
    <row r="542" spans="2:14" ht="14.25" customHeight="1" x14ac:dyDescent="0.25"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</row>
    <row r="543" spans="2:14" ht="14.25" customHeight="1" x14ac:dyDescent="0.25"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</row>
    <row r="544" spans="2:14" ht="14.25" customHeight="1" x14ac:dyDescent="0.25"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</row>
    <row r="545" spans="2:14" ht="14.25" customHeight="1" x14ac:dyDescent="0.25"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</row>
    <row r="546" spans="2:14" ht="14.25" customHeight="1" x14ac:dyDescent="0.25"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</row>
    <row r="547" spans="2:14" ht="14.25" customHeight="1" x14ac:dyDescent="0.25"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</row>
    <row r="548" spans="2:14" ht="14.25" customHeight="1" x14ac:dyDescent="0.25"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</row>
    <row r="549" spans="2:14" ht="14.25" customHeight="1" x14ac:dyDescent="0.25"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</row>
    <row r="550" spans="2:14" ht="14.25" customHeight="1" x14ac:dyDescent="0.25"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</row>
    <row r="551" spans="2:14" ht="14.25" customHeight="1" x14ac:dyDescent="0.25"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</row>
    <row r="552" spans="2:14" ht="14.25" customHeight="1" x14ac:dyDescent="0.25"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</row>
    <row r="553" spans="2:14" ht="14.25" customHeight="1" x14ac:dyDescent="0.25"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</row>
    <row r="554" spans="2:14" ht="14.25" customHeight="1" x14ac:dyDescent="0.25"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</row>
    <row r="555" spans="2:14" ht="14.25" customHeight="1" x14ac:dyDescent="0.25"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</row>
    <row r="556" spans="2:14" ht="14.25" customHeight="1" x14ac:dyDescent="0.25"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</row>
    <row r="557" spans="2:14" ht="14.25" customHeight="1" x14ac:dyDescent="0.25"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</row>
    <row r="558" spans="2:14" ht="14.25" customHeight="1" x14ac:dyDescent="0.25"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</row>
    <row r="559" spans="2:14" ht="14.25" customHeight="1" x14ac:dyDescent="0.25"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</row>
    <row r="560" spans="2:14" ht="14.25" customHeight="1" x14ac:dyDescent="0.25"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</row>
    <row r="561" spans="2:14" ht="14.25" customHeight="1" x14ac:dyDescent="0.25"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</row>
    <row r="562" spans="2:14" ht="14.25" customHeight="1" x14ac:dyDescent="0.25"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</row>
    <row r="563" spans="2:14" ht="14.25" customHeight="1" x14ac:dyDescent="0.25"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</row>
    <row r="564" spans="2:14" ht="14.25" customHeight="1" x14ac:dyDescent="0.25"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</row>
    <row r="565" spans="2:14" ht="14.25" customHeight="1" x14ac:dyDescent="0.25"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</row>
    <row r="566" spans="2:14" ht="14.25" customHeight="1" x14ac:dyDescent="0.25"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</row>
    <row r="567" spans="2:14" ht="14.25" customHeight="1" x14ac:dyDescent="0.25"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</row>
    <row r="568" spans="2:14" ht="14.25" customHeight="1" x14ac:dyDescent="0.25"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</row>
    <row r="569" spans="2:14" ht="14.25" customHeight="1" x14ac:dyDescent="0.25"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</row>
    <row r="570" spans="2:14" ht="14.25" customHeight="1" x14ac:dyDescent="0.25"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</row>
    <row r="571" spans="2:14" ht="14.25" customHeight="1" x14ac:dyDescent="0.25"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</row>
    <row r="572" spans="2:14" ht="14.25" customHeight="1" x14ac:dyDescent="0.25"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</row>
    <row r="573" spans="2:14" ht="14.25" customHeight="1" x14ac:dyDescent="0.25"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</row>
    <row r="574" spans="2:14" ht="14.25" customHeight="1" x14ac:dyDescent="0.25"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</row>
    <row r="575" spans="2:14" ht="14.25" customHeight="1" x14ac:dyDescent="0.25"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</row>
    <row r="576" spans="2:14" ht="14.25" customHeight="1" x14ac:dyDescent="0.25"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</row>
    <row r="577" spans="2:14" ht="14.25" customHeight="1" x14ac:dyDescent="0.25"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</row>
    <row r="578" spans="2:14" ht="14.25" customHeight="1" x14ac:dyDescent="0.25"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</row>
    <row r="579" spans="2:14" ht="14.25" customHeight="1" x14ac:dyDescent="0.25"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</row>
    <row r="580" spans="2:14" ht="14.25" customHeight="1" x14ac:dyDescent="0.25"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</row>
    <row r="581" spans="2:14" ht="14.25" customHeight="1" x14ac:dyDescent="0.25"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</row>
    <row r="582" spans="2:14" ht="14.25" customHeight="1" x14ac:dyDescent="0.25"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</row>
    <row r="583" spans="2:14" ht="14.25" customHeight="1" x14ac:dyDescent="0.25"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</row>
    <row r="584" spans="2:14" ht="14.25" customHeight="1" x14ac:dyDescent="0.25"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</row>
    <row r="585" spans="2:14" ht="14.25" customHeight="1" x14ac:dyDescent="0.25"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</row>
    <row r="586" spans="2:14" ht="14.25" customHeight="1" x14ac:dyDescent="0.25"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</row>
    <row r="587" spans="2:14" ht="14.25" customHeight="1" x14ac:dyDescent="0.25"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</row>
    <row r="588" spans="2:14" ht="14.25" customHeight="1" x14ac:dyDescent="0.25"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</row>
    <row r="589" spans="2:14" ht="14.25" customHeight="1" x14ac:dyDescent="0.25"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</row>
    <row r="590" spans="2:14" ht="14.25" customHeight="1" x14ac:dyDescent="0.25"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</row>
    <row r="591" spans="2:14" ht="14.25" customHeight="1" x14ac:dyDescent="0.25"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</row>
    <row r="592" spans="2:14" ht="14.25" customHeight="1" x14ac:dyDescent="0.25"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</row>
    <row r="593" spans="2:14" ht="14.25" customHeight="1" x14ac:dyDescent="0.25"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</row>
    <row r="594" spans="2:14" ht="14.25" customHeight="1" x14ac:dyDescent="0.25"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</row>
    <row r="595" spans="2:14" ht="14.25" customHeight="1" x14ac:dyDescent="0.25"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</row>
    <row r="596" spans="2:14" ht="14.25" customHeight="1" x14ac:dyDescent="0.25"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</row>
    <row r="597" spans="2:14" ht="14.25" customHeight="1" x14ac:dyDescent="0.25"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</row>
    <row r="598" spans="2:14" ht="14.25" customHeight="1" x14ac:dyDescent="0.25"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</row>
    <row r="599" spans="2:14" ht="14.25" customHeight="1" x14ac:dyDescent="0.25"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</row>
    <row r="600" spans="2:14" ht="14.25" customHeight="1" x14ac:dyDescent="0.25"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</row>
    <row r="601" spans="2:14" ht="14.25" customHeight="1" x14ac:dyDescent="0.25"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</row>
    <row r="602" spans="2:14" ht="14.25" customHeight="1" x14ac:dyDescent="0.25"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</row>
    <row r="603" spans="2:14" ht="14.25" customHeight="1" x14ac:dyDescent="0.25"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</row>
    <row r="604" spans="2:14" ht="14.25" customHeight="1" x14ac:dyDescent="0.25"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</row>
    <row r="605" spans="2:14" ht="14.25" customHeight="1" x14ac:dyDescent="0.25"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</row>
    <row r="606" spans="2:14" ht="14.25" customHeight="1" x14ac:dyDescent="0.25"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</row>
    <row r="607" spans="2:14" ht="14.25" customHeight="1" x14ac:dyDescent="0.25"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</row>
    <row r="608" spans="2:14" ht="14.25" customHeight="1" x14ac:dyDescent="0.25"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</row>
    <row r="609" spans="2:14" ht="14.25" customHeight="1" x14ac:dyDescent="0.25"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</row>
    <row r="610" spans="2:14" ht="14.25" customHeight="1" x14ac:dyDescent="0.25"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</row>
    <row r="611" spans="2:14" ht="14.25" customHeight="1" x14ac:dyDescent="0.25"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</row>
    <row r="612" spans="2:14" ht="14.25" customHeight="1" x14ac:dyDescent="0.25"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</row>
    <row r="613" spans="2:14" ht="14.25" customHeight="1" x14ac:dyDescent="0.25"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</row>
    <row r="614" spans="2:14" ht="14.25" customHeight="1" x14ac:dyDescent="0.25"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</row>
    <row r="615" spans="2:14" ht="14.25" customHeight="1" x14ac:dyDescent="0.25"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</row>
    <row r="616" spans="2:14" ht="14.25" customHeight="1" x14ac:dyDescent="0.25"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</row>
    <row r="617" spans="2:14" ht="14.25" customHeight="1" x14ac:dyDescent="0.25"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</row>
    <row r="618" spans="2:14" ht="14.25" customHeight="1" x14ac:dyDescent="0.25"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</row>
    <row r="619" spans="2:14" ht="14.25" customHeight="1" x14ac:dyDescent="0.25"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</row>
    <row r="620" spans="2:14" ht="14.25" customHeight="1" x14ac:dyDescent="0.25"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</row>
    <row r="621" spans="2:14" ht="14.25" customHeight="1" x14ac:dyDescent="0.25"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</row>
    <row r="622" spans="2:14" ht="14.25" customHeight="1" x14ac:dyDescent="0.25"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</row>
    <row r="623" spans="2:14" ht="14.25" customHeight="1" x14ac:dyDescent="0.25"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</row>
    <row r="624" spans="2:14" ht="14.25" customHeight="1" x14ac:dyDescent="0.25"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</row>
    <row r="625" spans="2:14" ht="14.25" customHeight="1" x14ac:dyDescent="0.25"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</row>
    <row r="626" spans="2:14" ht="14.25" customHeight="1" x14ac:dyDescent="0.25"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</row>
    <row r="627" spans="2:14" ht="14.25" customHeight="1" x14ac:dyDescent="0.25"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</row>
    <row r="628" spans="2:14" ht="14.25" customHeight="1" x14ac:dyDescent="0.25"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</row>
    <row r="629" spans="2:14" ht="14.25" customHeight="1" x14ac:dyDescent="0.25"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</row>
    <row r="630" spans="2:14" ht="14.25" customHeight="1" x14ac:dyDescent="0.25"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</row>
    <row r="631" spans="2:14" ht="14.25" customHeight="1" x14ac:dyDescent="0.25"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</row>
    <row r="632" spans="2:14" ht="14.25" customHeight="1" x14ac:dyDescent="0.25"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</row>
    <row r="633" spans="2:14" ht="14.25" customHeight="1" x14ac:dyDescent="0.25"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</row>
    <row r="634" spans="2:14" ht="14.25" customHeight="1" x14ac:dyDescent="0.25"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</row>
    <row r="635" spans="2:14" ht="14.25" customHeight="1" x14ac:dyDescent="0.25"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</row>
    <row r="636" spans="2:14" ht="14.25" customHeight="1" x14ac:dyDescent="0.25"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</row>
    <row r="637" spans="2:14" ht="14.25" customHeight="1" x14ac:dyDescent="0.25"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</row>
    <row r="638" spans="2:14" ht="14.25" customHeight="1" x14ac:dyDescent="0.25"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</row>
    <row r="639" spans="2:14" ht="14.25" customHeight="1" x14ac:dyDescent="0.25"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</row>
    <row r="640" spans="2:14" ht="14.25" customHeight="1" x14ac:dyDescent="0.25"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</row>
    <row r="641" spans="2:14" ht="14.25" customHeight="1" x14ac:dyDescent="0.25"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</row>
    <row r="642" spans="2:14" ht="14.25" customHeight="1" x14ac:dyDescent="0.25"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</row>
    <row r="643" spans="2:14" ht="14.25" customHeight="1" x14ac:dyDescent="0.25"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</row>
    <row r="644" spans="2:14" ht="14.25" customHeight="1" x14ac:dyDescent="0.25"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</row>
    <row r="645" spans="2:14" ht="14.25" customHeight="1" x14ac:dyDescent="0.25"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</row>
    <row r="646" spans="2:14" ht="14.25" customHeight="1" x14ac:dyDescent="0.25"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</row>
    <row r="647" spans="2:14" ht="14.25" customHeight="1" x14ac:dyDescent="0.25"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</row>
    <row r="648" spans="2:14" ht="14.25" customHeight="1" x14ac:dyDescent="0.25"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</row>
    <row r="649" spans="2:14" ht="14.25" customHeight="1" x14ac:dyDescent="0.25"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</row>
    <row r="650" spans="2:14" ht="14.25" customHeight="1" x14ac:dyDescent="0.25"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</row>
    <row r="651" spans="2:14" ht="14.25" customHeight="1" x14ac:dyDescent="0.25"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</row>
    <row r="652" spans="2:14" ht="14.25" customHeight="1" x14ac:dyDescent="0.25"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</row>
    <row r="653" spans="2:14" ht="14.25" customHeight="1" x14ac:dyDescent="0.25"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</row>
    <row r="654" spans="2:14" ht="14.25" customHeight="1" x14ac:dyDescent="0.25"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</row>
    <row r="655" spans="2:14" ht="14.25" customHeight="1" x14ac:dyDescent="0.25"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</row>
    <row r="656" spans="2:14" ht="14.25" customHeight="1" x14ac:dyDescent="0.25"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</row>
    <row r="657" spans="2:14" ht="14.25" customHeight="1" x14ac:dyDescent="0.25"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</row>
    <row r="658" spans="2:14" ht="14.25" customHeight="1" x14ac:dyDescent="0.25"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</row>
    <row r="659" spans="2:14" ht="14.25" customHeight="1" x14ac:dyDescent="0.25"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</row>
    <row r="660" spans="2:14" ht="14.25" customHeight="1" x14ac:dyDescent="0.25"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</row>
    <row r="661" spans="2:14" ht="14.25" customHeight="1" x14ac:dyDescent="0.25"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</row>
    <row r="662" spans="2:14" ht="14.25" customHeight="1" x14ac:dyDescent="0.25"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</row>
    <row r="663" spans="2:14" ht="14.25" customHeight="1" x14ac:dyDescent="0.25"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</row>
    <row r="664" spans="2:14" ht="14.25" customHeight="1" x14ac:dyDescent="0.25"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</row>
    <row r="665" spans="2:14" ht="14.25" customHeight="1" x14ac:dyDescent="0.25"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</row>
    <row r="666" spans="2:14" ht="14.25" customHeight="1" x14ac:dyDescent="0.25"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</row>
    <row r="667" spans="2:14" ht="14.25" customHeight="1" x14ac:dyDescent="0.25"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</row>
    <row r="668" spans="2:14" ht="14.25" customHeight="1" x14ac:dyDescent="0.25"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</row>
    <row r="669" spans="2:14" ht="14.25" customHeight="1" x14ac:dyDescent="0.25"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</row>
    <row r="670" spans="2:14" ht="14.25" customHeight="1" x14ac:dyDescent="0.25"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</row>
    <row r="671" spans="2:14" ht="14.25" customHeight="1" x14ac:dyDescent="0.25"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</row>
    <row r="672" spans="2:14" ht="14.25" customHeight="1" x14ac:dyDescent="0.25"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</row>
    <row r="673" spans="2:14" ht="14.25" customHeight="1" x14ac:dyDescent="0.25"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</row>
    <row r="674" spans="2:14" ht="14.25" customHeight="1" x14ac:dyDescent="0.25"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</row>
    <row r="675" spans="2:14" ht="14.25" customHeight="1" x14ac:dyDescent="0.25"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</row>
    <row r="676" spans="2:14" ht="14.25" customHeight="1" x14ac:dyDescent="0.25"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</row>
    <row r="677" spans="2:14" ht="14.25" customHeight="1" x14ac:dyDescent="0.25"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</row>
    <row r="678" spans="2:14" ht="14.25" customHeight="1" x14ac:dyDescent="0.25"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</row>
    <row r="679" spans="2:14" ht="14.25" customHeight="1" x14ac:dyDescent="0.25"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</row>
    <row r="680" spans="2:14" ht="14.25" customHeight="1" x14ac:dyDescent="0.25"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</row>
    <row r="681" spans="2:14" ht="14.25" customHeight="1" x14ac:dyDescent="0.25"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</row>
    <row r="682" spans="2:14" ht="14.25" customHeight="1" x14ac:dyDescent="0.25"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</row>
    <row r="683" spans="2:14" ht="14.25" customHeight="1" x14ac:dyDescent="0.25"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</row>
    <row r="684" spans="2:14" ht="14.25" customHeight="1" x14ac:dyDescent="0.25"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</row>
    <row r="685" spans="2:14" ht="14.25" customHeight="1" x14ac:dyDescent="0.25"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</row>
    <row r="686" spans="2:14" ht="14.25" customHeight="1" x14ac:dyDescent="0.25"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</row>
    <row r="687" spans="2:14" ht="14.25" customHeight="1" x14ac:dyDescent="0.25"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</row>
    <row r="688" spans="2:14" ht="14.25" customHeight="1" x14ac:dyDescent="0.25"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</row>
    <row r="689" spans="2:14" ht="14.25" customHeight="1" x14ac:dyDescent="0.25"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</row>
    <row r="690" spans="2:14" ht="14.25" customHeight="1" x14ac:dyDescent="0.25"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</row>
    <row r="691" spans="2:14" ht="14.25" customHeight="1" x14ac:dyDescent="0.25"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</row>
    <row r="692" spans="2:14" ht="14.25" customHeight="1" x14ac:dyDescent="0.25"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</row>
    <row r="693" spans="2:14" ht="14.25" customHeight="1" x14ac:dyDescent="0.25"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</row>
    <row r="694" spans="2:14" ht="14.25" customHeight="1" x14ac:dyDescent="0.25"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</row>
    <row r="695" spans="2:14" ht="14.25" customHeight="1" x14ac:dyDescent="0.25"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</row>
    <row r="696" spans="2:14" ht="14.25" customHeight="1" x14ac:dyDescent="0.25"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</row>
    <row r="697" spans="2:14" ht="14.25" customHeight="1" x14ac:dyDescent="0.25"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</row>
    <row r="698" spans="2:14" ht="14.25" customHeight="1" x14ac:dyDescent="0.25"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</row>
    <row r="699" spans="2:14" ht="14.25" customHeight="1" x14ac:dyDescent="0.25"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</row>
    <row r="700" spans="2:14" ht="14.25" customHeight="1" x14ac:dyDescent="0.25"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</row>
    <row r="701" spans="2:14" ht="14.25" customHeight="1" x14ac:dyDescent="0.25"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</row>
    <row r="702" spans="2:14" ht="14.25" customHeight="1" x14ac:dyDescent="0.25"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</row>
    <row r="703" spans="2:14" ht="14.25" customHeight="1" x14ac:dyDescent="0.25"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</row>
    <row r="704" spans="2:14" ht="14.25" customHeight="1" x14ac:dyDescent="0.25"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</row>
    <row r="705" spans="2:14" ht="14.25" customHeight="1" x14ac:dyDescent="0.25"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</row>
    <row r="706" spans="2:14" ht="14.25" customHeight="1" x14ac:dyDescent="0.25"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</row>
    <row r="707" spans="2:14" ht="14.25" customHeight="1" x14ac:dyDescent="0.25"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</row>
    <row r="708" spans="2:14" ht="14.25" customHeight="1" x14ac:dyDescent="0.25"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</row>
    <row r="709" spans="2:14" ht="14.25" customHeight="1" x14ac:dyDescent="0.25"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</row>
    <row r="710" spans="2:14" ht="14.25" customHeight="1" x14ac:dyDescent="0.25"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</row>
    <row r="711" spans="2:14" ht="14.25" customHeight="1" x14ac:dyDescent="0.25"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</row>
    <row r="712" spans="2:14" ht="14.25" customHeight="1" x14ac:dyDescent="0.25"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</row>
    <row r="713" spans="2:14" ht="14.25" customHeight="1" x14ac:dyDescent="0.25"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</row>
    <row r="714" spans="2:14" ht="14.25" customHeight="1" x14ac:dyDescent="0.25"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</row>
    <row r="715" spans="2:14" ht="14.25" customHeight="1" x14ac:dyDescent="0.25"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</row>
    <row r="716" spans="2:14" ht="14.25" customHeight="1" x14ac:dyDescent="0.25"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</row>
    <row r="717" spans="2:14" ht="14.25" customHeight="1" x14ac:dyDescent="0.25"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</row>
    <row r="718" spans="2:14" ht="14.25" customHeight="1" x14ac:dyDescent="0.25"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</row>
    <row r="719" spans="2:14" ht="14.25" customHeight="1" x14ac:dyDescent="0.25"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</row>
    <row r="720" spans="2:14" ht="14.25" customHeight="1" x14ac:dyDescent="0.25"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</row>
    <row r="721" spans="2:14" ht="14.25" customHeight="1" x14ac:dyDescent="0.25"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</row>
    <row r="722" spans="2:14" ht="14.25" customHeight="1" x14ac:dyDescent="0.25"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</row>
    <row r="723" spans="2:14" ht="14.25" customHeight="1" x14ac:dyDescent="0.25"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</row>
    <row r="724" spans="2:14" ht="14.25" customHeight="1" x14ac:dyDescent="0.25"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</row>
    <row r="725" spans="2:14" ht="14.25" customHeight="1" x14ac:dyDescent="0.25"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</row>
    <row r="726" spans="2:14" ht="14.25" customHeight="1" x14ac:dyDescent="0.25"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</row>
    <row r="727" spans="2:14" ht="14.25" customHeight="1" x14ac:dyDescent="0.25"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</row>
    <row r="728" spans="2:14" ht="14.25" customHeight="1" x14ac:dyDescent="0.25"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</row>
    <row r="729" spans="2:14" ht="14.25" customHeight="1" x14ac:dyDescent="0.25"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</row>
    <row r="730" spans="2:14" ht="14.25" customHeight="1" x14ac:dyDescent="0.25"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</row>
    <row r="731" spans="2:14" ht="14.25" customHeight="1" x14ac:dyDescent="0.25"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</row>
    <row r="732" spans="2:14" ht="14.25" customHeight="1" x14ac:dyDescent="0.25"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</row>
    <row r="733" spans="2:14" ht="14.25" customHeight="1" x14ac:dyDescent="0.25"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</row>
    <row r="734" spans="2:14" ht="14.25" customHeight="1" x14ac:dyDescent="0.25"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</row>
    <row r="735" spans="2:14" ht="14.25" customHeight="1" x14ac:dyDescent="0.25"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</row>
    <row r="736" spans="2:14" ht="14.25" customHeight="1" x14ac:dyDescent="0.25"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</row>
    <row r="737" spans="2:14" ht="14.25" customHeight="1" x14ac:dyDescent="0.25"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</row>
    <row r="738" spans="2:14" ht="14.25" customHeight="1" x14ac:dyDescent="0.25"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</row>
    <row r="739" spans="2:14" ht="14.25" customHeight="1" x14ac:dyDescent="0.25"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</row>
    <row r="740" spans="2:14" ht="14.25" customHeight="1" x14ac:dyDescent="0.25"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</row>
    <row r="741" spans="2:14" ht="14.25" customHeight="1" x14ac:dyDescent="0.25"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</row>
    <row r="742" spans="2:14" ht="14.25" customHeight="1" x14ac:dyDescent="0.25"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</row>
    <row r="743" spans="2:14" ht="14.25" customHeight="1" x14ac:dyDescent="0.25"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</row>
    <row r="744" spans="2:14" ht="14.25" customHeight="1" x14ac:dyDescent="0.25"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</row>
    <row r="745" spans="2:14" ht="14.25" customHeight="1" x14ac:dyDescent="0.25"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</row>
    <row r="746" spans="2:14" ht="14.25" customHeight="1" x14ac:dyDescent="0.25"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</row>
    <row r="747" spans="2:14" ht="14.25" customHeight="1" x14ac:dyDescent="0.25"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</row>
    <row r="748" spans="2:14" ht="14.25" customHeight="1" x14ac:dyDescent="0.25"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</row>
    <row r="749" spans="2:14" ht="14.25" customHeight="1" x14ac:dyDescent="0.25"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</row>
    <row r="750" spans="2:14" ht="14.25" customHeight="1" x14ac:dyDescent="0.25"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</row>
    <row r="751" spans="2:14" ht="14.25" customHeight="1" x14ac:dyDescent="0.25"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</row>
    <row r="752" spans="2:14" ht="14.25" customHeight="1" x14ac:dyDescent="0.25"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</row>
    <row r="753" spans="2:14" ht="14.25" customHeight="1" x14ac:dyDescent="0.25"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</row>
    <row r="754" spans="2:14" ht="14.25" customHeight="1" x14ac:dyDescent="0.25"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</row>
    <row r="755" spans="2:14" ht="14.25" customHeight="1" x14ac:dyDescent="0.25"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</row>
    <row r="756" spans="2:14" ht="14.25" customHeight="1" x14ac:dyDescent="0.25"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</row>
    <row r="757" spans="2:14" ht="14.25" customHeight="1" x14ac:dyDescent="0.25"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</row>
    <row r="758" spans="2:14" ht="14.25" customHeight="1" x14ac:dyDescent="0.25"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</row>
    <row r="759" spans="2:14" ht="14.25" customHeight="1" x14ac:dyDescent="0.25"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</row>
    <row r="760" spans="2:14" ht="14.25" customHeight="1" x14ac:dyDescent="0.25"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</row>
    <row r="761" spans="2:14" ht="14.25" customHeight="1" x14ac:dyDescent="0.25"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</row>
    <row r="762" spans="2:14" ht="14.25" customHeight="1" x14ac:dyDescent="0.25"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</row>
    <row r="763" spans="2:14" ht="14.25" customHeight="1" x14ac:dyDescent="0.25"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</row>
    <row r="764" spans="2:14" ht="14.25" customHeight="1" x14ac:dyDescent="0.25"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</row>
    <row r="765" spans="2:14" ht="14.25" customHeight="1" x14ac:dyDescent="0.25"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</row>
    <row r="766" spans="2:14" ht="14.25" customHeight="1" x14ac:dyDescent="0.25"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</row>
    <row r="767" spans="2:14" ht="14.25" customHeight="1" x14ac:dyDescent="0.25"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</row>
    <row r="768" spans="2:14" ht="14.25" customHeight="1" x14ac:dyDescent="0.25"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</row>
    <row r="769" spans="2:14" ht="14.25" customHeight="1" x14ac:dyDescent="0.25"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</row>
    <row r="770" spans="2:14" ht="14.25" customHeight="1" x14ac:dyDescent="0.25"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</row>
    <row r="771" spans="2:14" ht="14.25" customHeight="1" x14ac:dyDescent="0.25"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</row>
    <row r="772" spans="2:14" ht="14.25" customHeight="1" x14ac:dyDescent="0.25"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</row>
    <row r="773" spans="2:14" ht="14.25" customHeight="1" x14ac:dyDescent="0.25"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</row>
    <row r="774" spans="2:14" ht="14.25" customHeight="1" x14ac:dyDescent="0.25"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</row>
    <row r="775" spans="2:14" ht="14.25" customHeight="1" x14ac:dyDescent="0.25"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</row>
    <row r="776" spans="2:14" ht="14.25" customHeight="1" x14ac:dyDescent="0.25"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</row>
    <row r="777" spans="2:14" ht="14.25" customHeight="1" x14ac:dyDescent="0.25"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</row>
    <row r="778" spans="2:14" ht="14.25" customHeight="1" x14ac:dyDescent="0.25"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</row>
    <row r="779" spans="2:14" ht="14.25" customHeight="1" x14ac:dyDescent="0.25"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</row>
    <row r="780" spans="2:14" ht="14.25" customHeight="1" x14ac:dyDescent="0.25"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</row>
    <row r="781" spans="2:14" ht="14.25" customHeight="1" x14ac:dyDescent="0.25"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</row>
    <row r="782" spans="2:14" ht="14.25" customHeight="1" x14ac:dyDescent="0.25"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</row>
    <row r="783" spans="2:14" ht="14.25" customHeight="1" x14ac:dyDescent="0.25"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</row>
    <row r="784" spans="2:14" ht="14.25" customHeight="1" x14ac:dyDescent="0.25"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</row>
    <row r="785" spans="2:14" ht="14.25" customHeight="1" x14ac:dyDescent="0.25"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</row>
    <row r="786" spans="2:14" ht="14.25" customHeight="1" x14ac:dyDescent="0.25"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</row>
    <row r="787" spans="2:14" ht="14.25" customHeight="1" x14ac:dyDescent="0.25"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</row>
    <row r="788" spans="2:14" ht="14.25" customHeight="1" x14ac:dyDescent="0.25"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</row>
    <row r="789" spans="2:14" ht="14.25" customHeight="1" x14ac:dyDescent="0.25"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</row>
    <row r="790" spans="2:14" ht="14.25" customHeight="1" x14ac:dyDescent="0.25"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</row>
    <row r="791" spans="2:14" ht="14.25" customHeight="1" x14ac:dyDescent="0.25"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</row>
    <row r="792" spans="2:14" ht="14.25" customHeight="1" x14ac:dyDescent="0.25"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</row>
    <row r="793" spans="2:14" ht="14.25" customHeight="1" x14ac:dyDescent="0.25"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</row>
    <row r="794" spans="2:14" ht="14.25" customHeight="1" x14ac:dyDescent="0.25"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</row>
    <row r="795" spans="2:14" ht="14.25" customHeight="1" x14ac:dyDescent="0.25"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</row>
    <row r="796" spans="2:14" ht="14.25" customHeight="1" x14ac:dyDescent="0.25"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</row>
    <row r="797" spans="2:14" ht="14.25" customHeight="1" x14ac:dyDescent="0.25"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</row>
    <row r="798" spans="2:14" ht="14.25" customHeight="1" x14ac:dyDescent="0.25"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</row>
    <row r="799" spans="2:14" ht="14.25" customHeight="1" x14ac:dyDescent="0.25"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</row>
    <row r="800" spans="2:14" ht="14.25" customHeight="1" x14ac:dyDescent="0.25"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</row>
    <row r="801" spans="2:14" ht="14.25" customHeight="1" x14ac:dyDescent="0.25"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</row>
    <row r="802" spans="2:14" ht="14.25" customHeight="1" x14ac:dyDescent="0.25"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</row>
    <row r="803" spans="2:14" ht="14.25" customHeight="1" x14ac:dyDescent="0.25"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</row>
    <row r="804" spans="2:14" ht="14.25" customHeight="1" x14ac:dyDescent="0.25"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</row>
    <row r="805" spans="2:14" ht="14.25" customHeight="1" x14ac:dyDescent="0.25"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</row>
    <row r="806" spans="2:14" ht="14.25" customHeight="1" x14ac:dyDescent="0.25"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</row>
    <row r="807" spans="2:14" ht="14.25" customHeight="1" x14ac:dyDescent="0.25"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</row>
    <row r="808" spans="2:14" ht="14.25" customHeight="1" x14ac:dyDescent="0.25"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</row>
    <row r="809" spans="2:14" ht="14.25" customHeight="1" x14ac:dyDescent="0.25"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</row>
    <row r="810" spans="2:14" ht="14.25" customHeight="1" x14ac:dyDescent="0.25"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</row>
    <row r="811" spans="2:14" ht="14.25" customHeight="1" x14ac:dyDescent="0.25"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</row>
    <row r="812" spans="2:14" ht="14.25" customHeight="1" x14ac:dyDescent="0.25"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</row>
    <row r="813" spans="2:14" ht="14.25" customHeight="1" x14ac:dyDescent="0.25"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</row>
    <row r="814" spans="2:14" ht="14.25" customHeight="1" x14ac:dyDescent="0.25"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</row>
    <row r="815" spans="2:14" ht="14.25" customHeight="1" x14ac:dyDescent="0.25"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</row>
    <row r="816" spans="2:14" ht="14.25" customHeight="1" x14ac:dyDescent="0.25"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</row>
    <row r="817" spans="2:14" ht="14.25" customHeight="1" x14ac:dyDescent="0.25"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</row>
    <row r="818" spans="2:14" ht="14.25" customHeight="1" x14ac:dyDescent="0.25"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</row>
    <row r="819" spans="2:14" ht="14.25" customHeight="1" x14ac:dyDescent="0.25"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</row>
    <row r="820" spans="2:14" ht="14.25" customHeight="1" x14ac:dyDescent="0.25"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</row>
    <row r="821" spans="2:14" ht="14.25" customHeight="1" x14ac:dyDescent="0.25"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</row>
    <row r="822" spans="2:14" ht="14.25" customHeight="1" x14ac:dyDescent="0.25"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</row>
    <row r="823" spans="2:14" ht="14.25" customHeight="1" x14ac:dyDescent="0.25"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</row>
    <row r="824" spans="2:14" ht="14.25" customHeight="1" x14ac:dyDescent="0.25"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</row>
    <row r="825" spans="2:14" ht="14.25" customHeight="1" x14ac:dyDescent="0.25"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</row>
    <row r="826" spans="2:14" ht="14.25" customHeight="1" x14ac:dyDescent="0.25"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</row>
    <row r="827" spans="2:14" ht="14.25" customHeight="1" x14ac:dyDescent="0.25"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</row>
    <row r="828" spans="2:14" ht="14.25" customHeight="1" x14ac:dyDescent="0.25"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</row>
    <row r="829" spans="2:14" ht="14.25" customHeight="1" x14ac:dyDescent="0.25"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</row>
    <row r="830" spans="2:14" ht="14.25" customHeight="1" x14ac:dyDescent="0.25"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</row>
    <row r="831" spans="2:14" ht="14.25" customHeight="1" x14ac:dyDescent="0.25"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</row>
    <row r="832" spans="2:14" ht="14.25" customHeight="1" x14ac:dyDescent="0.25"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</row>
    <row r="833" spans="2:14" ht="14.25" customHeight="1" x14ac:dyDescent="0.25"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</row>
    <row r="834" spans="2:14" ht="14.25" customHeight="1" x14ac:dyDescent="0.25"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</row>
    <row r="835" spans="2:14" ht="14.25" customHeight="1" x14ac:dyDescent="0.25"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</row>
    <row r="836" spans="2:14" ht="14.25" customHeight="1" x14ac:dyDescent="0.25"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</row>
    <row r="837" spans="2:14" ht="14.25" customHeight="1" x14ac:dyDescent="0.25"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</row>
    <row r="838" spans="2:14" ht="14.25" customHeight="1" x14ac:dyDescent="0.25"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</row>
    <row r="839" spans="2:14" ht="14.25" customHeight="1" x14ac:dyDescent="0.25"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</row>
    <row r="840" spans="2:14" ht="14.25" customHeight="1" x14ac:dyDescent="0.25"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</row>
    <row r="841" spans="2:14" ht="14.25" customHeight="1" x14ac:dyDescent="0.25"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</row>
    <row r="842" spans="2:14" ht="14.25" customHeight="1" x14ac:dyDescent="0.25"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</row>
    <row r="843" spans="2:14" ht="14.25" customHeight="1" x14ac:dyDescent="0.25"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</row>
    <row r="844" spans="2:14" ht="14.25" customHeight="1" x14ac:dyDescent="0.25"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</row>
    <row r="845" spans="2:14" ht="14.25" customHeight="1" x14ac:dyDescent="0.25"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</row>
    <row r="846" spans="2:14" ht="14.25" customHeight="1" x14ac:dyDescent="0.25"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</row>
    <row r="847" spans="2:14" ht="14.25" customHeight="1" x14ac:dyDescent="0.25"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</row>
    <row r="848" spans="2:14" ht="14.25" customHeight="1" x14ac:dyDescent="0.25"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</row>
    <row r="849" spans="2:14" ht="14.25" customHeight="1" x14ac:dyDescent="0.25"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</row>
    <row r="850" spans="2:14" ht="14.25" customHeight="1" x14ac:dyDescent="0.25"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</row>
    <row r="851" spans="2:14" ht="14.25" customHeight="1" x14ac:dyDescent="0.25"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</row>
    <row r="852" spans="2:14" ht="14.25" customHeight="1" x14ac:dyDescent="0.25"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</row>
    <row r="853" spans="2:14" ht="14.25" customHeight="1" x14ac:dyDescent="0.25"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</row>
    <row r="854" spans="2:14" ht="14.25" customHeight="1" x14ac:dyDescent="0.25"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</row>
    <row r="855" spans="2:14" ht="14.25" customHeight="1" x14ac:dyDescent="0.25"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</row>
    <row r="856" spans="2:14" ht="14.25" customHeight="1" x14ac:dyDescent="0.25"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</row>
    <row r="857" spans="2:14" ht="14.25" customHeight="1" x14ac:dyDescent="0.25"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</row>
    <row r="858" spans="2:14" ht="14.25" customHeight="1" x14ac:dyDescent="0.25"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</row>
    <row r="859" spans="2:14" ht="14.25" customHeight="1" x14ac:dyDescent="0.25"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</row>
    <row r="860" spans="2:14" ht="14.25" customHeight="1" x14ac:dyDescent="0.25"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</row>
    <row r="861" spans="2:14" ht="14.25" customHeight="1" x14ac:dyDescent="0.25"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</row>
    <row r="862" spans="2:14" ht="14.25" customHeight="1" x14ac:dyDescent="0.25"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</row>
    <row r="863" spans="2:14" ht="14.25" customHeight="1" x14ac:dyDescent="0.25"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</row>
    <row r="864" spans="2:14" ht="14.25" customHeight="1" x14ac:dyDescent="0.25"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</row>
    <row r="865" spans="2:14" ht="14.25" customHeight="1" x14ac:dyDescent="0.25"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</row>
    <row r="866" spans="2:14" ht="14.25" customHeight="1" x14ac:dyDescent="0.25"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</row>
    <row r="867" spans="2:14" ht="14.25" customHeight="1" x14ac:dyDescent="0.25"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</row>
    <row r="868" spans="2:14" ht="14.25" customHeight="1" x14ac:dyDescent="0.25"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</row>
    <row r="869" spans="2:14" ht="14.25" customHeight="1" x14ac:dyDescent="0.25"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</row>
    <row r="870" spans="2:14" ht="14.25" customHeight="1" x14ac:dyDescent="0.25"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</row>
    <row r="871" spans="2:14" ht="14.25" customHeight="1" x14ac:dyDescent="0.25"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</row>
    <row r="872" spans="2:14" ht="14.25" customHeight="1" x14ac:dyDescent="0.25"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</row>
    <row r="873" spans="2:14" ht="14.25" customHeight="1" x14ac:dyDescent="0.25"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</row>
    <row r="874" spans="2:14" ht="14.25" customHeight="1" x14ac:dyDescent="0.25"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</row>
    <row r="875" spans="2:14" ht="14.25" customHeight="1" x14ac:dyDescent="0.25"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</row>
    <row r="876" spans="2:14" ht="14.25" customHeight="1" x14ac:dyDescent="0.25"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</row>
    <row r="877" spans="2:14" ht="14.25" customHeight="1" x14ac:dyDescent="0.25"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</row>
    <row r="878" spans="2:14" ht="14.25" customHeight="1" x14ac:dyDescent="0.25"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</row>
    <row r="879" spans="2:14" ht="14.25" customHeight="1" x14ac:dyDescent="0.25"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</row>
    <row r="880" spans="2:14" ht="14.25" customHeight="1" x14ac:dyDescent="0.25"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</row>
    <row r="881" spans="2:14" ht="14.25" customHeight="1" x14ac:dyDescent="0.25"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</row>
    <row r="882" spans="2:14" ht="14.25" customHeight="1" x14ac:dyDescent="0.25"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</row>
    <row r="883" spans="2:14" ht="14.25" customHeight="1" x14ac:dyDescent="0.25"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</row>
    <row r="884" spans="2:14" ht="14.25" customHeight="1" x14ac:dyDescent="0.25"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</row>
    <row r="885" spans="2:14" ht="14.25" customHeight="1" x14ac:dyDescent="0.25"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</row>
    <row r="886" spans="2:14" ht="14.25" customHeight="1" x14ac:dyDescent="0.25"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</row>
    <row r="887" spans="2:14" ht="14.25" customHeight="1" x14ac:dyDescent="0.25"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</row>
    <row r="888" spans="2:14" ht="14.25" customHeight="1" x14ac:dyDescent="0.25"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</row>
    <row r="889" spans="2:14" ht="14.25" customHeight="1" x14ac:dyDescent="0.25"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</row>
    <row r="890" spans="2:14" ht="14.25" customHeight="1" x14ac:dyDescent="0.25"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</row>
    <row r="891" spans="2:14" ht="14.25" customHeight="1" x14ac:dyDescent="0.25"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</row>
    <row r="892" spans="2:14" ht="14.25" customHeight="1" x14ac:dyDescent="0.25"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</row>
    <row r="893" spans="2:14" ht="14.25" customHeight="1" x14ac:dyDescent="0.25"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</row>
    <row r="894" spans="2:14" ht="14.25" customHeight="1" x14ac:dyDescent="0.25"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</row>
    <row r="895" spans="2:14" ht="14.25" customHeight="1" x14ac:dyDescent="0.25"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</row>
    <row r="896" spans="2:14" ht="14.25" customHeight="1" x14ac:dyDescent="0.25"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</row>
    <row r="897" spans="2:14" ht="14.25" customHeight="1" x14ac:dyDescent="0.25"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</row>
    <row r="898" spans="2:14" ht="14.25" customHeight="1" x14ac:dyDescent="0.25"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</row>
    <row r="899" spans="2:14" ht="14.25" customHeight="1" x14ac:dyDescent="0.25"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</row>
    <row r="900" spans="2:14" ht="14.25" customHeight="1" x14ac:dyDescent="0.25"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</row>
    <row r="901" spans="2:14" ht="14.25" customHeight="1" x14ac:dyDescent="0.25"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</row>
    <row r="902" spans="2:14" ht="14.25" customHeight="1" x14ac:dyDescent="0.25"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</row>
    <row r="903" spans="2:14" ht="14.25" customHeight="1" x14ac:dyDescent="0.25"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</row>
    <row r="904" spans="2:14" ht="14.25" customHeight="1" x14ac:dyDescent="0.25"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</row>
    <row r="905" spans="2:14" ht="14.25" customHeight="1" x14ac:dyDescent="0.25"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</row>
    <row r="906" spans="2:14" ht="14.25" customHeight="1" x14ac:dyDescent="0.25"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</row>
    <row r="907" spans="2:14" ht="14.25" customHeight="1" x14ac:dyDescent="0.25"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</row>
    <row r="908" spans="2:14" ht="14.25" customHeight="1" x14ac:dyDescent="0.25"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</row>
    <row r="909" spans="2:14" ht="14.25" customHeight="1" x14ac:dyDescent="0.25"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</row>
    <row r="910" spans="2:14" ht="14.25" customHeight="1" x14ac:dyDescent="0.25"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</row>
    <row r="911" spans="2:14" ht="14.25" customHeight="1" x14ac:dyDescent="0.25"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</row>
    <row r="912" spans="2:14" ht="14.25" customHeight="1" x14ac:dyDescent="0.25"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</row>
    <row r="913" spans="2:14" ht="14.25" customHeight="1" x14ac:dyDescent="0.25"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</row>
    <row r="914" spans="2:14" ht="14.25" customHeight="1" x14ac:dyDescent="0.25"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</row>
    <row r="915" spans="2:14" ht="14.25" customHeight="1" x14ac:dyDescent="0.25"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</row>
    <row r="916" spans="2:14" ht="14.25" customHeight="1" x14ac:dyDescent="0.25"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</row>
    <row r="917" spans="2:14" ht="14.25" customHeight="1" x14ac:dyDescent="0.25"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</row>
    <row r="918" spans="2:14" ht="14.25" customHeight="1" x14ac:dyDescent="0.25"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</row>
    <row r="919" spans="2:14" ht="14.25" customHeight="1" x14ac:dyDescent="0.25"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</row>
    <row r="920" spans="2:14" ht="14.25" customHeight="1" x14ac:dyDescent="0.25"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</row>
    <row r="921" spans="2:14" ht="14.25" customHeight="1" x14ac:dyDescent="0.25"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</row>
    <row r="922" spans="2:14" ht="14.25" customHeight="1" x14ac:dyDescent="0.25"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</row>
    <row r="923" spans="2:14" ht="14.25" customHeight="1" x14ac:dyDescent="0.25"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</row>
    <row r="924" spans="2:14" ht="14.25" customHeight="1" x14ac:dyDescent="0.25"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</row>
    <row r="925" spans="2:14" ht="14.25" customHeight="1" x14ac:dyDescent="0.25"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</row>
    <row r="926" spans="2:14" ht="14.25" customHeight="1" x14ac:dyDescent="0.25"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</row>
    <row r="927" spans="2:14" ht="14.25" customHeight="1" x14ac:dyDescent="0.25"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</row>
    <row r="928" spans="2:14" ht="14.25" customHeight="1" x14ac:dyDescent="0.25"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</row>
    <row r="929" spans="2:14" ht="14.25" customHeight="1" x14ac:dyDescent="0.25"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</row>
    <row r="930" spans="2:14" ht="14.25" customHeight="1" x14ac:dyDescent="0.25"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</row>
    <row r="931" spans="2:14" ht="14.25" customHeight="1" x14ac:dyDescent="0.25"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</row>
    <row r="932" spans="2:14" ht="14.25" customHeight="1" x14ac:dyDescent="0.25"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</row>
    <row r="933" spans="2:14" ht="14.25" customHeight="1" x14ac:dyDescent="0.25"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</row>
    <row r="934" spans="2:14" ht="14.25" customHeight="1" x14ac:dyDescent="0.25"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</row>
    <row r="935" spans="2:14" ht="14.25" customHeight="1" x14ac:dyDescent="0.25"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</row>
    <row r="936" spans="2:14" ht="14.25" customHeight="1" x14ac:dyDescent="0.25"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</row>
    <row r="937" spans="2:14" ht="14.25" customHeight="1" x14ac:dyDescent="0.25"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</row>
    <row r="938" spans="2:14" ht="14.25" customHeight="1" x14ac:dyDescent="0.25"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</row>
    <row r="939" spans="2:14" ht="14.25" customHeight="1" x14ac:dyDescent="0.25"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</row>
    <row r="940" spans="2:14" ht="14.25" customHeight="1" x14ac:dyDescent="0.25"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</row>
    <row r="941" spans="2:14" ht="14.25" customHeight="1" x14ac:dyDescent="0.25"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</row>
    <row r="942" spans="2:14" ht="14.25" customHeight="1" x14ac:dyDescent="0.25"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</row>
    <row r="943" spans="2:14" ht="14.25" customHeight="1" x14ac:dyDescent="0.25"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</row>
    <row r="944" spans="2:14" ht="14.25" customHeight="1" x14ac:dyDescent="0.25"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</row>
    <row r="945" spans="2:14" ht="14.25" customHeight="1" x14ac:dyDescent="0.25"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</row>
    <row r="946" spans="2:14" ht="14.25" customHeight="1" x14ac:dyDescent="0.25"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</row>
    <row r="947" spans="2:14" ht="14.25" customHeight="1" x14ac:dyDescent="0.25"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</row>
    <row r="948" spans="2:14" ht="14.25" customHeight="1" x14ac:dyDescent="0.25"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</row>
    <row r="949" spans="2:14" ht="14.25" customHeight="1" x14ac:dyDescent="0.25"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</row>
    <row r="950" spans="2:14" ht="14.25" customHeight="1" x14ac:dyDescent="0.25"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</row>
    <row r="951" spans="2:14" ht="14.25" customHeight="1" x14ac:dyDescent="0.25"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</row>
    <row r="952" spans="2:14" ht="14.25" customHeight="1" x14ac:dyDescent="0.25"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</row>
    <row r="953" spans="2:14" ht="14.25" customHeight="1" x14ac:dyDescent="0.25"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</row>
    <row r="954" spans="2:14" ht="14.25" customHeight="1" x14ac:dyDescent="0.25"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</row>
    <row r="955" spans="2:14" ht="14.25" customHeight="1" x14ac:dyDescent="0.25"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</row>
    <row r="956" spans="2:14" ht="14.25" customHeight="1" x14ac:dyDescent="0.25"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</row>
    <row r="957" spans="2:14" ht="14.25" customHeight="1" x14ac:dyDescent="0.25"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</row>
    <row r="958" spans="2:14" ht="14.25" customHeight="1" x14ac:dyDescent="0.25"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</row>
    <row r="959" spans="2:14" ht="14.25" customHeight="1" x14ac:dyDescent="0.25"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</row>
    <row r="960" spans="2:14" ht="14.25" customHeight="1" x14ac:dyDescent="0.25"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</row>
    <row r="961" spans="2:14" ht="14.25" customHeight="1" x14ac:dyDescent="0.25"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</row>
    <row r="962" spans="2:14" ht="14.25" customHeight="1" x14ac:dyDescent="0.25"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</row>
    <row r="963" spans="2:14" ht="14.25" customHeight="1" x14ac:dyDescent="0.25"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</row>
    <row r="964" spans="2:14" ht="14.25" customHeight="1" x14ac:dyDescent="0.25"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</row>
    <row r="965" spans="2:14" ht="14.25" customHeight="1" x14ac:dyDescent="0.25"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</row>
    <row r="966" spans="2:14" ht="14.25" customHeight="1" x14ac:dyDescent="0.25"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</row>
    <row r="967" spans="2:14" ht="14.25" customHeight="1" x14ac:dyDescent="0.25"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</row>
    <row r="968" spans="2:14" ht="14.25" customHeight="1" x14ac:dyDescent="0.25"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</row>
    <row r="969" spans="2:14" ht="14.25" customHeight="1" x14ac:dyDescent="0.25"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</row>
    <row r="970" spans="2:14" ht="14.25" customHeight="1" x14ac:dyDescent="0.25"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</row>
    <row r="971" spans="2:14" ht="14.25" customHeight="1" x14ac:dyDescent="0.25"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</row>
    <row r="972" spans="2:14" ht="14.25" customHeight="1" x14ac:dyDescent="0.25"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</row>
    <row r="973" spans="2:14" ht="14.25" customHeight="1" x14ac:dyDescent="0.25"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</row>
    <row r="974" spans="2:14" ht="14.25" customHeight="1" x14ac:dyDescent="0.25"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</row>
    <row r="975" spans="2:14" ht="14.25" customHeight="1" x14ac:dyDescent="0.25"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</row>
    <row r="976" spans="2:14" ht="14.25" customHeight="1" x14ac:dyDescent="0.25"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</row>
    <row r="977" spans="2:14" ht="14.25" customHeight="1" x14ac:dyDescent="0.25"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</row>
    <row r="978" spans="2:14" ht="14.25" customHeight="1" x14ac:dyDescent="0.25"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</row>
    <row r="979" spans="2:14" ht="14.25" customHeight="1" x14ac:dyDescent="0.25"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</row>
    <row r="980" spans="2:14" ht="14.25" customHeight="1" x14ac:dyDescent="0.25"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</row>
    <row r="981" spans="2:14" ht="14.25" customHeight="1" x14ac:dyDescent="0.25"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</row>
    <row r="982" spans="2:14" ht="14.25" customHeight="1" x14ac:dyDescent="0.25"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</row>
    <row r="983" spans="2:14" ht="14.25" customHeight="1" x14ac:dyDescent="0.25"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</row>
    <row r="984" spans="2:14" ht="14.25" customHeight="1" x14ac:dyDescent="0.25"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</row>
    <row r="985" spans="2:14" ht="14.25" customHeight="1" x14ac:dyDescent="0.25"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</row>
    <row r="986" spans="2:14" ht="14.25" customHeight="1" x14ac:dyDescent="0.25"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</row>
    <row r="987" spans="2:14" ht="14.25" customHeight="1" x14ac:dyDescent="0.25"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</row>
    <row r="988" spans="2:14" ht="14.25" customHeight="1" x14ac:dyDescent="0.25"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</row>
    <row r="989" spans="2:14" ht="14.25" customHeight="1" x14ac:dyDescent="0.25"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</row>
    <row r="990" spans="2:14" ht="14.25" customHeight="1" x14ac:dyDescent="0.25"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</row>
    <row r="991" spans="2:14" ht="14.25" customHeight="1" x14ac:dyDescent="0.25"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</row>
    <row r="992" spans="2:14" ht="14.25" customHeight="1" x14ac:dyDescent="0.25"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</row>
    <row r="993" spans="2:14" ht="14.25" customHeight="1" x14ac:dyDescent="0.25"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</row>
    <row r="994" spans="2:14" ht="14.25" customHeight="1" x14ac:dyDescent="0.25"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</row>
    <row r="995" spans="2:14" ht="14.25" customHeight="1" x14ac:dyDescent="0.25"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</row>
    <row r="996" spans="2:14" ht="14.25" customHeight="1" x14ac:dyDescent="0.25"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</row>
    <row r="997" spans="2:14" ht="14.25" customHeight="1" x14ac:dyDescent="0.25"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</row>
    <row r="998" spans="2:14" ht="14.25" customHeight="1" x14ac:dyDescent="0.25"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</row>
    <row r="999" spans="2:14" ht="14.25" customHeight="1" x14ac:dyDescent="0.25"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</row>
    <row r="1000" spans="2:14" ht="14.25" customHeight="1" x14ac:dyDescent="0.25"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</row>
  </sheetData>
  <pageMargins left="0.7" right="0.7" top="0.75" bottom="0.75" header="0" footer="0"/>
  <pageSetup paperSize="5" scale="60" fitToHeight="0" orientation="landscape" r:id="rId1"/>
  <headerFooter>
    <oddHeader>&amp;C2022 Draft Budget
&amp;A</oddHeader>
    <oddFooter>&amp;C&amp;F  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Home SheetInstructions</vt:lpstr>
      <vt:lpstr>Master</vt:lpstr>
      <vt:lpstr>Admin</vt:lpstr>
      <vt:lpstr>Membership</vt:lpstr>
      <vt:lpstr>GA</vt:lpstr>
      <vt:lpstr>Education</vt:lpstr>
      <vt:lpstr>Events</vt:lpstr>
      <vt:lpstr>Communications</vt:lpstr>
      <vt:lpstr>Communications!Print_Area</vt:lpstr>
      <vt:lpstr>GA!Print_Area</vt:lpstr>
      <vt:lpstr>Master!Print_Area</vt:lpstr>
      <vt:lpstr>Membership!Print_Area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Teri Bilby</cp:lastModifiedBy>
  <cp:lastPrinted>2021-11-22T21:25:36Z</cp:lastPrinted>
  <dcterms:created xsi:type="dcterms:W3CDTF">2021-11-15T18:42:14Z</dcterms:created>
  <dcterms:modified xsi:type="dcterms:W3CDTF">2021-11-23T01:56:09Z</dcterms:modified>
</cp:coreProperties>
</file>