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saptassoc-my.sharepoint.com/personal/meghan_msaptassoc_org/Documents/MAA BOD/Meeting Agendas/2024/November/"/>
    </mc:Choice>
  </mc:AlternateContent>
  <xr:revisionPtr revIDLastSave="1" documentId="8_{2603FCA3-44E3-464C-AE19-26D72D965E55}" xr6:coauthVersionLast="47" xr6:coauthVersionMax="47" xr10:uidLastSave="{B58251E3-F909-4F01-A654-E3C552C54370}"/>
  <bookViews>
    <workbookView xWindow="-110" yWindow="-110" windowWidth="19420" windowHeight="1030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D39" i="2"/>
  <c r="E39" i="2"/>
  <c r="B20" i="2"/>
  <c r="C20" i="2"/>
  <c r="E20" i="2" s="1"/>
  <c r="C104" i="2"/>
  <c r="D104" i="2" s="1"/>
  <c r="E103" i="2"/>
  <c r="B103" i="2"/>
  <c r="D103" i="2" s="1"/>
  <c r="E102" i="2"/>
  <c r="B102" i="2"/>
  <c r="D102" i="2" s="1"/>
  <c r="C101" i="2"/>
  <c r="E101" i="2" s="1"/>
  <c r="C99" i="2"/>
  <c r="B99" i="2"/>
  <c r="C97" i="2"/>
  <c r="B97" i="2"/>
  <c r="C96" i="2"/>
  <c r="B96" i="2"/>
  <c r="C95" i="2"/>
  <c r="B95" i="2"/>
  <c r="C94" i="2"/>
  <c r="E94" i="2" s="1"/>
  <c r="C93" i="2"/>
  <c r="B93" i="2"/>
  <c r="C86" i="2"/>
  <c r="E86" i="2" s="1"/>
  <c r="B86" i="2"/>
  <c r="C85" i="2"/>
  <c r="B85" i="2"/>
  <c r="C84" i="2"/>
  <c r="B84" i="2"/>
  <c r="D84" i="2" s="1"/>
  <c r="E83" i="2"/>
  <c r="B83" i="2"/>
  <c r="D83" i="2" s="1"/>
  <c r="C82" i="2"/>
  <c r="B82" i="2"/>
  <c r="C81" i="2"/>
  <c r="B81" i="2"/>
  <c r="E81" i="2" s="1"/>
  <c r="C71" i="2"/>
  <c r="B71" i="2"/>
  <c r="C70" i="2"/>
  <c r="B70" i="2"/>
  <c r="C69" i="2"/>
  <c r="E69" i="2" s="1"/>
  <c r="C68" i="2"/>
  <c r="B68" i="2"/>
  <c r="D68" i="2" s="1"/>
  <c r="C67" i="2"/>
  <c r="B67" i="2"/>
  <c r="C66" i="2"/>
  <c r="B66" i="2"/>
  <c r="C65" i="2"/>
  <c r="B65" i="2"/>
  <c r="C62" i="2"/>
  <c r="B62" i="2"/>
  <c r="C61" i="2"/>
  <c r="E61" i="2" s="1"/>
  <c r="C60" i="2"/>
  <c r="E60" i="2" s="1"/>
  <c r="C59" i="2"/>
  <c r="B59" i="2"/>
  <c r="C56" i="2"/>
  <c r="B56" i="2"/>
  <c r="C55" i="2"/>
  <c r="B55" i="2"/>
  <c r="E54" i="2"/>
  <c r="B54" i="2"/>
  <c r="D54" i="2" s="1"/>
  <c r="C53" i="2"/>
  <c r="B53" i="2"/>
  <c r="E52" i="2"/>
  <c r="B52" i="2"/>
  <c r="D52" i="2"/>
  <c r="C51" i="2"/>
  <c r="B51" i="2"/>
  <c r="C50" i="2"/>
  <c r="B50" i="2"/>
  <c r="C49" i="2"/>
  <c r="B49" i="2"/>
  <c r="C48" i="2"/>
  <c r="B48" i="2"/>
  <c r="C47" i="2"/>
  <c r="B47" i="2"/>
  <c r="E46" i="2"/>
  <c r="B46" i="2"/>
  <c r="D46" i="2" s="1"/>
  <c r="E42" i="2"/>
  <c r="B42" i="2"/>
  <c r="D42" i="2" s="1"/>
  <c r="E41" i="2"/>
  <c r="B41" i="2"/>
  <c r="D41" i="2" s="1"/>
  <c r="C40" i="2"/>
  <c r="D40" i="2" s="1"/>
  <c r="C38" i="2"/>
  <c r="D38" i="2" s="1"/>
  <c r="C37" i="2"/>
  <c r="B37" i="2"/>
  <c r="E35" i="2"/>
  <c r="B35" i="2"/>
  <c r="D35" i="2" s="1"/>
  <c r="E34" i="2"/>
  <c r="B34" i="2"/>
  <c r="D34" i="2" s="1"/>
  <c r="C33" i="2"/>
  <c r="B33" i="2"/>
  <c r="B24" i="2"/>
  <c r="C24" i="2"/>
  <c r="B25" i="2"/>
  <c r="C25" i="2"/>
  <c r="B26" i="2"/>
  <c r="C26" i="2"/>
  <c r="B27" i="2"/>
  <c r="C27" i="2"/>
  <c r="B28" i="2"/>
  <c r="C28" i="2"/>
  <c r="C21" i="2"/>
  <c r="B21" i="2"/>
  <c r="C19" i="2"/>
  <c r="B19" i="2"/>
  <c r="C18" i="2"/>
  <c r="B18" i="2"/>
  <c r="D18" i="2" s="1"/>
  <c r="C17" i="2"/>
  <c r="B17" i="2"/>
  <c r="C16" i="2"/>
  <c r="B16" i="2"/>
  <c r="C15" i="2"/>
  <c r="B15" i="2"/>
  <c r="C12" i="2"/>
  <c r="B12" i="2"/>
  <c r="C11" i="2"/>
  <c r="B11" i="2"/>
  <c r="C10" i="2"/>
  <c r="B10" i="2"/>
  <c r="D10" i="2" s="1"/>
  <c r="C9" i="2"/>
  <c r="B9" i="2"/>
  <c r="C8" i="2"/>
  <c r="B8" i="2"/>
  <c r="F95" i="2"/>
  <c r="F98" i="2" s="1"/>
  <c r="F100" i="2" s="1"/>
  <c r="E92" i="2"/>
  <c r="D92" i="2"/>
  <c r="F91" i="2"/>
  <c r="E90" i="2"/>
  <c r="B90" i="2"/>
  <c r="D90" i="2" s="1"/>
  <c r="C89" i="2"/>
  <c r="C91" i="2" s="1"/>
  <c r="B89" i="2"/>
  <c r="E88" i="2"/>
  <c r="D88" i="2"/>
  <c r="F81" i="2"/>
  <c r="F87" i="2" s="1"/>
  <c r="E80" i="2"/>
  <c r="D80" i="2"/>
  <c r="C78" i="2"/>
  <c r="B78" i="2"/>
  <c r="C77" i="2"/>
  <c r="B77" i="2"/>
  <c r="C76" i="2"/>
  <c r="B76" i="2"/>
  <c r="C75" i="2"/>
  <c r="E75" i="2" s="1"/>
  <c r="C74" i="2"/>
  <c r="B74" i="2"/>
  <c r="E73" i="2"/>
  <c r="D73" i="2"/>
  <c r="E64" i="2"/>
  <c r="F63" i="2"/>
  <c r="E58" i="2"/>
  <c r="D58" i="2"/>
  <c r="F52" i="2"/>
  <c r="F49" i="2"/>
  <c r="F48" i="2"/>
  <c r="F36" i="2"/>
  <c r="C32" i="2"/>
  <c r="B32" i="2"/>
  <c r="C31" i="2"/>
  <c r="D31" i="2" s="1"/>
  <c r="E30" i="2"/>
  <c r="D30" i="2"/>
  <c r="F29" i="2"/>
  <c r="E23" i="2"/>
  <c r="D23" i="2"/>
  <c r="E14" i="2"/>
  <c r="D14" i="2"/>
  <c r="E7" i="2"/>
  <c r="E99" i="2"/>
  <c r="D99" i="2"/>
  <c r="E85" i="2" l="1"/>
  <c r="D82" i="2"/>
  <c r="D20" i="2"/>
  <c r="E65" i="2"/>
  <c r="E49" i="2"/>
  <c r="E56" i="2"/>
  <c r="D96" i="2"/>
  <c r="E104" i="2"/>
  <c r="D75" i="2"/>
  <c r="E32" i="2"/>
  <c r="D95" i="2"/>
  <c r="D81" i="2"/>
  <c r="D74" i="2"/>
  <c r="E89" i="2"/>
  <c r="F57" i="2"/>
  <c r="E40" i="2"/>
  <c r="D71" i="2"/>
  <c r="D86" i="2"/>
  <c r="E55" i="2"/>
  <c r="E66" i="2"/>
  <c r="D15" i="2"/>
  <c r="D51" i="2"/>
  <c r="F67" i="2"/>
  <c r="E53" i="2"/>
  <c r="E76" i="2"/>
  <c r="D26" i="2"/>
  <c r="E24" i="2"/>
  <c r="D49" i="2"/>
  <c r="D65" i="2"/>
  <c r="C57" i="2"/>
  <c r="E96" i="2"/>
  <c r="E26" i="2"/>
  <c r="F11" i="2"/>
  <c r="E19" i="2"/>
  <c r="D12" i="2"/>
  <c r="E21" i="2"/>
  <c r="E33" i="2"/>
  <c r="D50" i="2"/>
  <c r="D55" i="2"/>
  <c r="D25" i="2"/>
  <c r="D28" i="2"/>
  <c r="E68" i="2"/>
  <c r="C98" i="2"/>
  <c r="D17" i="2"/>
  <c r="D37" i="2"/>
  <c r="D47" i="2"/>
  <c r="E84" i="2"/>
  <c r="E12" i="2"/>
  <c r="F8" i="2"/>
  <c r="E51" i="2"/>
  <c r="E78" i="2"/>
  <c r="E71" i="2"/>
  <c r="B63" i="2"/>
  <c r="D93" i="2"/>
  <c r="B57" i="2"/>
  <c r="D61" i="2"/>
  <c r="D69" i="2"/>
  <c r="D9" i="2"/>
  <c r="E27" i="2"/>
  <c r="E59" i="2"/>
  <c r="E67" i="2"/>
  <c r="E82" i="2"/>
  <c r="D94" i="2"/>
  <c r="C72" i="2"/>
  <c r="D60" i="2"/>
  <c r="F68" i="2"/>
  <c r="D70" i="2"/>
  <c r="E10" i="2"/>
  <c r="D77" i="2"/>
  <c r="D19" i="2"/>
  <c r="E25" i="2"/>
  <c r="D59" i="2"/>
  <c r="F74" i="2"/>
  <c r="E47" i="2"/>
  <c r="D78" i="2"/>
  <c r="D11" i="2"/>
  <c r="B72" i="2"/>
  <c r="E28" i="2"/>
  <c r="E11" i="2"/>
  <c r="D32" i="2"/>
  <c r="F78" i="2"/>
  <c r="D56" i="2"/>
  <c r="D66" i="2"/>
  <c r="C87" i="2"/>
  <c r="D101" i="2"/>
  <c r="D53" i="2"/>
  <c r="E95" i="2"/>
  <c r="E37" i="2"/>
  <c r="D67" i="2"/>
  <c r="E74" i="2"/>
  <c r="D24" i="2"/>
  <c r="F17" i="2"/>
  <c r="F22" i="2" s="1"/>
  <c r="C100" i="2"/>
  <c r="E77" i="2"/>
  <c r="D48" i="2"/>
  <c r="C79" i="2"/>
  <c r="E70" i="2"/>
  <c r="E15" i="2"/>
  <c r="B29" i="2"/>
  <c r="E17" i="2"/>
  <c r="B79" i="2"/>
  <c r="B91" i="2"/>
  <c r="D91" i="2" s="1"/>
  <c r="E9" i="2"/>
  <c r="E16" i="2"/>
  <c r="C29" i="2"/>
  <c r="E93" i="2"/>
  <c r="C63" i="2"/>
  <c r="B98" i="2"/>
  <c r="B100" i="2" s="1"/>
  <c r="E50" i="2"/>
  <c r="E48" i="2"/>
  <c r="E8" i="2"/>
  <c r="E38" i="2"/>
  <c r="B22" i="2"/>
  <c r="D16" i="2"/>
  <c r="C13" i="2"/>
  <c r="D8" i="2"/>
  <c r="D27" i="2"/>
  <c r="D21" i="2"/>
  <c r="E18" i="2"/>
  <c r="D76" i="2"/>
  <c r="D97" i="2"/>
  <c r="E97" i="2"/>
  <c r="D85" i="2"/>
  <c r="D89" i="2"/>
  <c r="E31" i="2"/>
  <c r="D33" i="2"/>
  <c r="E62" i="2"/>
  <c r="C36" i="2"/>
  <c r="C22" i="2"/>
  <c r="E22" i="2" s="1"/>
  <c r="B36" i="2"/>
  <c r="B87" i="2"/>
  <c r="B13" i="2"/>
  <c r="D62" i="2"/>
  <c r="F72" i="2" l="1"/>
  <c r="D87" i="2"/>
  <c r="D79" i="2"/>
  <c r="D29" i="2"/>
  <c r="E91" i="2"/>
  <c r="F13" i="2"/>
  <c r="F43" i="2"/>
  <c r="D57" i="2"/>
  <c r="D36" i="2"/>
  <c r="F106" i="2"/>
  <c r="F44" i="2"/>
  <c r="B105" i="2"/>
  <c r="E57" i="2"/>
  <c r="D72" i="2"/>
  <c r="E63" i="2"/>
  <c r="F79" i="2"/>
  <c r="F105" i="2" s="1"/>
  <c r="D100" i="2"/>
  <c r="E100" i="2"/>
  <c r="E98" i="2"/>
  <c r="D98" i="2"/>
  <c r="E29" i="2"/>
  <c r="E72" i="2"/>
  <c r="C105" i="2"/>
  <c r="E79" i="2"/>
  <c r="D63" i="2"/>
  <c r="C43" i="2"/>
  <c r="E13" i="2"/>
  <c r="E36" i="2"/>
  <c r="D22" i="2"/>
  <c r="B43" i="2"/>
  <c r="D13" i="2"/>
  <c r="E87" i="2"/>
  <c r="F107" i="2" l="1"/>
  <c r="D105" i="2"/>
  <c r="E105" i="2"/>
  <c r="E43" i="2"/>
  <c r="C44" i="2"/>
  <c r="B44" i="2"/>
  <c r="D43" i="2"/>
  <c r="B106" i="2" l="1"/>
  <c r="D44" i="2"/>
  <c r="E44" i="2"/>
  <c r="C106" i="2"/>
  <c r="C107" i="2" l="1"/>
  <c r="E106" i="2"/>
  <c r="B107" i="2"/>
  <c r="D106" i="2"/>
  <c r="D107" i="2" l="1"/>
  <c r="E10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Mississippi Apt Association</author>
    <author>tc={159559EC-C72F-4515-AE24-683A517F8077}</author>
  </authors>
  <commentList>
    <comment ref="F8" authorId="0" shapeId="0" xr:uid="{2D6778E6-28B3-4803-988A-FBAD2F782FD4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Average of 2023 budget vs actual</t>
        </r>
      </text>
    </comment>
    <comment ref="F9" authorId="0" shapeId="0" xr:uid="{08603CF2-0314-47C5-90B5-427290CFDAF9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Average of 2023 budget vs actual</t>
        </r>
      </text>
    </comment>
    <comment ref="F10" authorId="0" shapeId="0" xr:uid="{6704C93F-C12A-4142-9542-FE7692A351AC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11" authorId="0" shapeId="0" xr:uid="{FB4B209B-6CF3-4541-A670-48788FE4A8A2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Average of 2023 budget vs actual</t>
        </r>
      </text>
    </comment>
    <comment ref="F12" authorId="0" shapeId="0" xr:uid="{DD4F8DDA-0161-4AA4-8B0E-5C91CA3C8830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15" authorId="0" shapeId="0" xr:uid="{EA202E7F-29AC-4AAB-82A8-2A76E03E2198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Sponsors-$6,000 
Attendees -$6,630 
Guest- $2,650 
Reserved Tables -$2,000</t>
        </r>
      </text>
    </comment>
    <comment ref="F17" authorId="0" shapeId="0" xr:uid="{E636F644-F6CA-446C-8CF0-CE69DD2F3B96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Average of 2023 budget vs actual</t>
        </r>
      </text>
    </comment>
    <comment ref="F18" authorId="0" shapeId="0" xr:uid="{B1BB775E-C6F5-48FE-8EF0-C41C84FF895F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meetings and education in 2024</t>
        </r>
      </text>
    </comment>
    <comment ref="F19" authorId="0" shapeId="0" xr:uid="{4EBC0579-3E57-4FED-B8A5-CED0CA5FC1A6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2025 conf budget</t>
        </r>
      </text>
    </comment>
    <comment ref="F21" authorId="0" shapeId="0" xr:uid="{6408D03D-DC39-41AA-B690-122F338124FA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2024-11 diamonds @ $1350</t>
        </r>
      </text>
    </comment>
    <comment ref="F24" authorId="0" shapeId="0" xr:uid="{F875E9A4-189D-4CC8-9123-3B2F903EE024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25" authorId="0" shapeId="0" xr:uid="{5BAB4963-A6B8-44D7-BC17-244EB110B643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26" authorId="0" shapeId="0" xr:uid="{1895B615-401E-4F9B-BC5C-5D672B9C23BC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39 ppl x $35 ea tix
10 x$150 sponsorships</t>
        </r>
      </text>
    </comment>
    <comment ref="F28" authorId="0" shapeId="0" xr:uid="{A3E403E7-A58C-49D6-BBA9-E1DDE38451C4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actual 2024</t>
        </r>
      </text>
    </comment>
    <comment ref="F31" authorId="0" shapeId="0" xr:uid="{7DE68B6B-DEE9-4171-9165-AEFA967F546C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removed from 2024 budget</t>
        </r>
      </text>
    </comment>
    <comment ref="F32" authorId="0" shapeId="0" xr:uid="{98B25AEA-7053-4380-80CA-A77D72A33E8A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33" authorId="0" shapeId="0" xr:uid="{19E54D7F-E10A-4959-AD1B-BAC66AE260BD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2023 year end actual</t>
        </r>
      </text>
    </comment>
    <comment ref="F35" authorId="0" shapeId="0" xr:uid="{E9E93CB2-EB6F-4550-A842-6CC1D0D54FDF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2023 actuals</t>
        </r>
      </text>
    </comment>
    <comment ref="F37" authorId="0" shapeId="0" xr:uid="{E17404F2-B66A-4455-A3BE-11EC0C9702DB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200x$10 Hatching Hope funds</t>
        </r>
      </text>
    </comment>
    <comment ref="F38" authorId="0" shapeId="0" xr:uid="{634238DB-18BB-4B8C-BC36-A688F10B4BFD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244 members paying $25 legal defense fund</t>
        </r>
      </text>
    </comment>
    <comment ref="F47" authorId="0" shapeId="0" xr:uid="{6DCABBF7-B0C0-433D-86B9-3F83EE683F84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</t>
        </r>
      </text>
    </comment>
    <comment ref="F48" authorId="0" shapeId="0" xr:uid="{F830820A-9528-4483-A311-4CC6F899FC5E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</t>
        </r>
      </text>
    </comment>
    <comment ref="F49" authorId="0" shapeId="0" xr:uid="{C990C356-A5A9-41D9-9C29-F1A7568C839A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 plus $278 Novi Increase</t>
        </r>
      </text>
    </comment>
    <comment ref="F50" authorId="0" shapeId="0" xr:uid="{AB94C6F9-BF2C-4D3E-B336-881A729AB959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51" authorId="0" shapeId="0" xr:uid="{EE3178D9-9018-49DD-BE71-5043B4EB5AE0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</t>
        </r>
      </text>
    </comment>
    <comment ref="F52" authorId="0" shapeId="0" xr:uid="{54D1A43A-14AB-46AC-B89B-A8141BC2B7A1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53" authorId="1" shapeId="0" xr:uid="{159559EC-C72F-4515-AE24-683A517F8077}">
      <text>
        <t>[Threaded comment]
Your version of Excel allows you to read this threaded comment; however, any edits to it will get removed if the file is opened in a newer version of Excel. Learn more: https://go.microsoft.com/fwlink/?linkid=870924
Comment:
    .59 per door
$31 per Supplier</t>
      </text>
    </comment>
    <comment ref="F55" authorId="0" shapeId="0" xr:uid="{812A75DD-DAD6-4141-8D40-FCDBA882687A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</t>
        </r>
      </text>
    </comment>
    <comment ref="F56" authorId="0" shapeId="0" xr:uid="{88C672BC-8F17-48DC-9B0A-5A88145DB125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</t>
        </r>
      </text>
    </comment>
    <comment ref="F59" authorId="0" shapeId="0" xr:uid="{7A655CD6-08AA-4287-BC5E-93782C6D943D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quotes
</t>
        </r>
      </text>
    </comment>
    <comment ref="F60" authorId="0" shapeId="0" xr:uid="{A3441F53-CBD4-404F-A87E-CFA21D3AEB38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</t>
        </r>
      </text>
    </comment>
    <comment ref="F61" authorId="0" shapeId="0" xr:uid="{D45F28A0-2180-48F2-A292-7C36A2B23A41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</t>
        </r>
      </text>
    </comment>
    <comment ref="F62" authorId="0" shapeId="0" xr:uid="{44F8BE2A-42CE-40A7-8017-7CE31D3C3FAE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375 a mo=4500
2180 tax filing</t>
        </r>
      </text>
    </comment>
    <comment ref="F65" authorId="0" shapeId="0" xr:uid="{829DACE2-56AE-48E7-BC78-D543EDC3EB05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Awards 1100
Banner 282
Beverage 4950
Decorations 900
Entertainment 750
Food 5700
Insurance 375
Judges 275
Misc 250
Photographer 600
Security/CoatCheck 225
Venue 2664
Tax/gratuity 2650.5
</t>
        </r>
      </text>
    </comment>
    <comment ref="F67" authorId="0" shapeId="0" xr:uid="{6ED3CA81-43DC-4AC0-978C-AF22E8B899E2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average of 2024 budget vs actuals</t>
        </r>
      </text>
    </comment>
    <comment ref="F68" authorId="0" shapeId="0" xr:uid="{4E16246A-E7D1-439E-978D-0396C9E80206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avg of 2024 budget vs spent</t>
        </r>
      </text>
    </comment>
    <comment ref="F70" authorId="0" shapeId="0" xr:uid="{8D49AEE6-82CA-4952-8E58-0A6E5FC2A846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71" authorId="0" shapeId="0" xr:uid="{229DE517-E250-4881-8FB0-FCCDEAAC2728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74" authorId="0" shapeId="0" xr:uid="{F58CD2A8-259E-4BF0-8E57-4A0225A685AE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average of 2024 budget vs actuals</t>
        </r>
      </text>
    </comment>
    <comment ref="F76" authorId="0" shapeId="0" xr:uid="{33C596F6-099F-4953-A9C6-5BF0046231E8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77" authorId="0" shapeId="0" xr:uid="{D8222BAD-5616-45B9-8ADA-0739DF6A03FC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78" authorId="0" shapeId="0" xr:uid="{52CD4064-4EF2-45F2-95A4-B4D9A3099570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 vs budget</t>
        </r>
      </text>
    </comment>
    <comment ref="F81" authorId="0" shapeId="0" xr:uid="{3601D0DA-3BBC-4F88-AB5E-4A181B0E216A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</t>
        </r>
      </text>
    </comment>
    <comment ref="F82" authorId="0" shapeId="0" xr:uid="{C4AB0362-8AFB-41F2-B0A0-79B669DFC6F6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</t>
        </r>
      </text>
    </comment>
    <comment ref="F83" authorId="0" shapeId="0" xr:uid="{AD6EF9D0-37EC-408D-8EA0-E32358F1E08C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84" authorId="0" shapeId="0" xr:uid="{CA721C48-300D-4B36-AE9A-88869BC9425E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MAA president to Apartmentalize.</t>
        </r>
      </text>
    </comment>
    <comment ref="F85" authorId="0" shapeId="0" xr:uid="{92C9D030-A4E6-4F10-9A25-1B6623FFE95C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</t>
        </r>
      </text>
    </comment>
    <comment ref="F86" authorId="0" shapeId="0" xr:uid="{6EAB835F-D660-465C-A250-9FA5B1535E33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AEX/Apartmentalize</t>
        </r>
        <r>
          <rPr>
            <sz val="9"/>
            <color indexed="81"/>
            <rFont val="Tahoma"/>
            <family val="2"/>
          </rPr>
          <t xml:space="preserve">-NAA covers AE $700 flight, 2 hotel nites, some meals,entry FREE   $400 food- = $400
</t>
        </r>
        <r>
          <rPr>
            <b/>
            <sz val="9"/>
            <color indexed="81"/>
            <rFont val="Tahoma"/>
            <family val="2"/>
          </rPr>
          <t>MSAE conference</t>
        </r>
        <r>
          <rPr>
            <sz val="9"/>
            <color indexed="81"/>
            <rFont val="Tahoma"/>
            <family val="2"/>
          </rPr>
          <t xml:space="preserve">-$500-tix+240 Hotel+200 food=940
</t>
        </r>
        <r>
          <rPr>
            <b/>
            <sz val="9"/>
            <color indexed="81"/>
            <rFont val="Tahoma"/>
            <family val="2"/>
          </rPr>
          <t>NAA BOD</t>
        </r>
        <r>
          <rPr>
            <sz val="9"/>
            <color indexed="81"/>
            <rFont val="Tahoma"/>
            <family val="2"/>
          </rPr>
          <t xml:space="preserve">- up to $500  -$200 flight &amp; $300 food)           </t>
        </r>
        <r>
          <rPr>
            <b/>
            <sz val="9"/>
            <color indexed="81"/>
            <rFont val="Tahoma"/>
            <family val="2"/>
          </rPr>
          <t>Advocate</t>
        </r>
        <r>
          <rPr>
            <sz val="9"/>
            <color indexed="81"/>
            <rFont val="Tahoma"/>
            <family val="2"/>
          </rPr>
          <t xml:space="preserve">-up to $850 ($200 flight &amp; $650 meals) -NAA pays AE $500 flight, 3 hotel nites,some meals
</t>
        </r>
        <r>
          <rPr>
            <b/>
            <sz val="9"/>
            <color indexed="81"/>
            <rFont val="Tahoma"/>
            <family val="2"/>
          </rPr>
          <t>AOD</t>
        </r>
        <r>
          <rPr>
            <sz val="9"/>
            <color indexed="81"/>
            <rFont val="Tahoma"/>
            <family val="2"/>
          </rPr>
          <t>-up to $550 ($200 flight &amp; $350 meals) NAA covers $400 flight, 3 hotel nites, some meals.</t>
        </r>
      </text>
    </comment>
    <comment ref="F89" authorId="0" shapeId="0" xr:uid="{D79B8412-0030-46A1-AEC1-C35A6E9F2BDA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New member gifts ( 20 at $15 ea) $300
Member giveaways $1,500
Magnet decals- $200
Removed 2024 salary survey</t>
        </r>
      </text>
    </comment>
    <comment ref="F90" authorId="0" shapeId="0" xr:uid="{0600742C-378A-4247-B6BA-B4922536DEE0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actuals</t>
        </r>
      </text>
    </comment>
    <comment ref="F93" authorId="0" shapeId="0" xr:uid="{0AC99B44-2C62-48BF-AA87-E5D3FDEFD92B}">
      <text>
        <r>
          <rPr>
            <sz val="11"/>
            <color indexed="8"/>
            <rFont val="Aptos Narrow"/>
            <family val="2"/>
            <scheme val="minor"/>
          </rPr>
          <t>Mississippi Apt Association:
Staff Base-44,088+1763=45851 ( 4% increase)
AE-56,511.12+2260=$57,771</t>
        </r>
      </text>
    </comment>
    <comment ref="F94" authorId="0" shapeId="0" xr:uid="{69D478AC-6317-4368-A328-936626EE08BD}">
      <text>
        <r>
          <rPr>
            <b/>
            <sz val="9"/>
            <color indexed="81"/>
            <rFont val="Tahoma"/>
            <charset val="1"/>
          </rPr>
          <t>Mississippi Apt Association:</t>
        </r>
        <r>
          <rPr>
            <sz val="9"/>
            <color indexed="81"/>
            <rFont val="Tahoma"/>
            <charset val="1"/>
          </rPr>
          <t xml:space="preserve">
based on 2024</t>
        </r>
      </text>
    </comment>
    <comment ref="F95" authorId="0" shapeId="0" xr:uid="{888ADF8F-CFE7-4D52-9E0D-4120BE10F4C0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6" authorId="0" shapeId="0" xr:uid="{F53B166A-142A-4ACF-A84B-2939BC8FD4E8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</t>
        </r>
      </text>
    </comment>
    <comment ref="F97" authorId="0" shapeId="0" xr:uid="{7BC21F47-4C5A-4589-A352-9DECF72E6AAC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2024 budget</t>
        </r>
      </text>
    </comment>
    <comment ref="F98" authorId="0" shapeId="0" xr:uid="{9E82AF54-ECFE-4A9D-A7CF-D0F64832DE8B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340 per check with staff increase</t>
        </r>
      </text>
    </comment>
    <comment ref="F99" authorId="0" shapeId="0" xr:uid="{3F503506-C438-49A6-A4BB-3BBE9935ECA2}">
      <text>
        <r>
          <rPr>
            <b/>
            <sz val="9"/>
            <color indexed="81"/>
            <rFont val="Tahoma"/>
            <family val="2"/>
          </rPr>
          <t>Mississippi Apt Association:</t>
        </r>
        <r>
          <rPr>
            <sz val="9"/>
            <color indexed="81"/>
            <rFont val="Tahoma"/>
            <family val="2"/>
          </rPr>
          <t xml:space="preserve">
based on increase of $20 vs 2024</t>
        </r>
      </text>
    </comment>
  </commentList>
</comments>
</file>

<file path=xl/sharedStrings.xml><?xml version="1.0" encoding="utf-8"?>
<sst xmlns="http://schemas.openxmlformats.org/spreadsheetml/2006/main" count="111" uniqueCount="111">
  <si>
    <t>MS Apartment  Association</t>
  </si>
  <si>
    <t xml:space="preserve">Budget vs. Actuals: Budget_FY24_P&amp;L - FY24 P&amp;L </t>
  </si>
  <si>
    <t>January - December 2024</t>
  </si>
  <si>
    <t>Total</t>
  </si>
  <si>
    <t>Actual</t>
  </si>
  <si>
    <t>Budget</t>
  </si>
  <si>
    <t>over Budget</t>
  </si>
  <si>
    <t>% of Budget</t>
  </si>
  <si>
    <t>2025 Budget</t>
  </si>
  <si>
    <t>Income</t>
  </si>
  <si>
    <t xml:space="preserve">   5100 Membership Dues</t>
  </si>
  <si>
    <t xml:space="preserve">      5110 Dues - Base Apartment Communities</t>
  </si>
  <si>
    <t xml:space="preserve">      5120 Dues - Unit Apartment Communities</t>
  </si>
  <si>
    <t xml:space="preserve">      5130 Dues - Associate / Trade Member</t>
  </si>
  <si>
    <t xml:space="preserve">      5140 Dues - Management Company</t>
  </si>
  <si>
    <t xml:space="preserve">      5150 Dues - New Member Fee</t>
  </si>
  <si>
    <t xml:space="preserve">   Total 5100 Membership Dues</t>
  </si>
  <si>
    <t xml:space="preserve">   5200 Event Income</t>
  </si>
  <si>
    <t xml:space="preserve">      5210 Event Income - Awards Gala</t>
  </si>
  <si>
    <t xml:space="preserve">      5220 Event Income - Conference Expo</t>
  </si>
  <si>
    <t xml:space="preserve">      5230 Event Income - MAA Social</t>
  </si>
  <si>
    <t xml:space="preserve">      5240 Event Income - Meetings</t>
  </si>
  <si>
    <t xml:space="preserve">      5260 Event Income - Crawfish Boil</t>
  </si>
  <si>
    <t xml:space="preserve">      5270 Event Income - Education--DELETE LINE ITEM</t>
  </si>
  <si>
    <t xml:space="preserve">      5290 Sponsorship Level Income</t>
  </si>
  <si>
    <t xml:space="preserve">   Total 5200 Event Income</t>
  </si>
  <si>
    <t xml:space="preserve">   5201 Pine Belt Event Income</t>
  </si>
  <si>
    <t xml:space="preserve">      5203 Pine Belt Socials</t>
  </si>
  <si>
    <t xml:space="preserve">      5204 Pine Belt Meetings</t>
  </si>
  <si>
    <t xml:space="preserve">      5205 Pine Belt Crawfish Boil</t>
  </si>
  <si>
    <t xml:space="preserve">      5206 Pine Belt Education-DELETE LINE ITEM</t>
  </si>
  <si>
    <t xml:space="preserve">      5207 Pine Belt Awards Gala</t>
  </si>
  <si>
    <t xml:space="preserve">   Total 5201 Pine Belt Event Income</t>
  </si>
  <si>
    <t xml:space="preserve">   5900 Other Income</t>
  </si>
  <si>
    <t xml:space="preserve">      5904 Survey Income</t>
  </si>
  <si>
    <t xml:space="preserve">      5910 Interest Earned from Investments</t>
  </si>
  <si>
    <t xml:space="preserve">      5930 NAA Lease Income</t>
  </si>
  <si>
    <t xml:space="preserve">      5935 Miscellaneous Income</t>
  </si>
  <si>
    <t xml:space="preserve">      5940 NAA Online Revenue Share</t>
  </si>
  <si>
    <t xml:space="preserve">   Total 5900 Other Income</t>
  </si>
  <si>
    <t xml:space="preserve">   5901 Charitable Donations</t>
  </si>
  <si>
    <t xml:space="preserve">   5902 Government Affairs Fundraising</t>
  </si>
  <si>
    <t xml:space="preserve">   Legal Fund-DELETE LINE ITME</t>
  </si>
  <si>
    <t xml:space="preserve">   QuickBooks Payments Sales</t>
  </si>
  <si>
    <t xml:space="preserve">   Unapplied Cash Payment Revenue</t>
  </si>
  <si>
    <t xml:space="preserve">   Uncategorized Income</t>
  </si>
  <si>
    <t>Total Income</t>
  </si>
  <si>
    <t>Gross Profit</t>
  </si>
  <si>
    <t>Expenses</t>
  </si>
  <si>
    <t xml:space="preserve">   6000 Administrative Expenses</t>
  </si>
  <si>
    <t xml:space="preserve">      6005 Office Supplies</t>
  </si>
  <si>
    <t xml:space="preserve">      6010 Telephone / Cell Phone</t>
  </si>
  <si>
    <t xml:space="preserve">      6015 Software Expense</t>
  </si>
  <si>
    <t xml:space="preserve">      6020 Office Expenses</t>
  </si>
  <si>
    <t xml:space="preserve">      6025 Bank Fees</t>
  </si>
  <si>
    <t xml:space="preserve">      6030 Digital Meetings</t>
  </si>
  <si>
    <t xml:space="preserve">      6035 NAA Dues</t>
  </si>
  <si>
    <t xml:space="preserve">      6040 Donations and Contributions</t>
  </si>
  <si>
    <t xml:space="preserve">      6045 Dues and Subscriptions</t>
  </si>
  <si>
    <t xml:space="preserve">      6055 Insurance - D&amp;O and General Liability</t>
  </si>
  <si>
    <t xml:space="preserve">   Total 6000 Administrative Expenses</t>
  </si>
  <si>
    <t xml:space="preserve">   6100 Professional Fees</t>
  </si>
  <si>
    <t xml:space="preserve">      6105 Lobbyist</t>
  </si>
  <si>
    <t xml:space="preserve">      6110 Board of Director Fees</t>
  </si>
  <si>
    <t xml:space="preserve">      6115 Legal</t>
  </si>
  <si>
    <t xml:space="preserve">      6125 Accounting Fees</t>
  </si>
  <si>
    <t xml:space="preserve">   Total 6100 Professional Fees</t>
  </si>
  <si>
    <t xml:space="preserve">   6200 Event Expenses</t>
  </si>
  <si>
    <t xml:space="preserve">      6210 Event Expenses - Awards Gala</t>
  </si>
  <si>
    <t xml:space="preserve">      6220 Event Expenses - Conference &amp; Expo</t>
  </si>
  <si>
    <t xml:space="preserve">      6230 Event Expenses - MAA Social</t>
  </si>
  <si>
    <t xml:space="preserve">      6240 Event Expenses - Meetings</t>
  </si>
  <si>
    <t xml:space="preserve">      6250 Event Expenses - Housing Fair</t>
  </si>
  <si>
    <t xml:space="preserve">      6260 Event Expenses - Crawfish Boil</t>
  </si>
  <si>
    <t xml:space="preserve">      6270 Event Expenses - Education</t>
  </si>
  <si>
    <t xml:space="preserve">   Total 6200 Event Expenses</t>
  </si>
  <si>
    <t xml:space="preserve">   6201 Pine Belt Event Expenses</t>
  </si>
  <si>
    <t xml:space="preserve">      6202 Pine Belt Socials</t>
  </si>
  <si>
    <t xml:space="preserve">      6204 Pine Belt Meetings</t>
  </si>
  <si>
    <t xml:space="preserve">      6205 Pine Belt Crawfish Boil</t>
  </si>
  <si>
    <t xml:space="preserve">      6206 Pine Belt Education</t>
  </si>
  <si>
    <t xml:space="preserve">      6207 Pine Belt Awards Gala</t>
  </si>
  <si>
    <t xml:space="preserve">   Total 6201 Pine Belt Event Expenses</t>
  </si>
  <si>
    <t xml:space="preserve">   6300 Travel and Entertainment</t>
  </si>
  <si>
    <t xml:space="preserve">      6305 Meals and Entertainment -  Staff</t>
  </si>
  <si>
    <t xml:space="preserve">      6310 Travel and Mileage - Staff</t>
  </si>
  <si>
    <t xml:space="preserve">      6315 Meals and Entertainment - Officer</t>
  </si>
  <si>
    <t xml:space="preserve">      6320 Travel and Mileage - Member Education</t>
  </si>
  <si>
    <t xml:space="preserve">      6325 Meals &amp; Entertainment - Committees</t>
  </si>
  <si>
    <t xml:space="preserve">      6330 Travel and Mileage - Staff Education</t>
  </si>
  <si>
    <t xml:space="preserve">   Total 6300 Travel and Entertainment</t>
  </si>
  <si>
    <t xml:space="preserve">   6400 Advertising/Promotional</t>
  </si>
  <si>
    <t xml:space="preserve">      6405 Marketing</t>
  </si>
  <si>
    <t xml:space="preserve">      6410 Website</t>
  </si>
  <si>
    <t xml:space="preserve">   Total 6400 Advertising/Promotional</t>
  </si>
  <si>
    <t xml:space="preserve">   6900 Payroll</t>
  </si>
  <si>
    <t xml:space="preserve">      6905 Salaries and Wages</t>
  </si>
  <si>
    <t xml:space="preserve">      6906 Staff Bonuses &amp; Commissions</t>
  </si>
  <si>
    <t xml:space="preserve">      6910 Payroll Taxes</t>
  </si>
  <si>
    <t xml:space="preserve">         6911 Federal Unemployment (FUTA)</t>
  </si>
  <si>
    <t xml:space="preserve">         6912 State Unemployment (SUTA)</t>
  </si>
  <si>
    <t xml:space="preserve">      Total 6910 Payroll Taxes</t>
  </si>
  <si>
    <t xml:space="preserve">      6925 Payroll Processing Fees</t>
  </si>
  <si>
    <t xml:space="preserve">   Total 6900 Payroll</t>
  </si>
  <si>
    <t xml:space="preserve">   Purchases</t>
  </si>
  <si>
    <t xml:space="preserve">   QuickBooks Payments Fees</t>
  </si>
  <si>
    <t xml:space="preserve">   Unapplied Cash Bill Payment Expense</t>
  </si>
  <si>
    <t xml:space="preserve">   Uncategorized Expense</t>
  </si>
  <si>
    <t>Total Expenses</t>
  </si>
  <si>
    <t>Net Operating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</si>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</sst>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9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5" fillId="0" borderId="1" xfId="1" applyFont="1" applyBorder="1" applyAlignment="1">
      <alignment horizontal="right"/>
    </xf>
    <xf numFmtId="0" fontId="5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10" fontId="5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44" fontId="2" fillId="0" borderId="1" xfId="1" applyFont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44" fontId="5" fillId="3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right" wrapText="1"/>
    </xf>
    <xf numFmtId="10" fontId="5" fillId="2" borderId="1" xfId="0" applyNumberFormat="1" applyFont="1" applyFill="1" applyBorder="1" applyAlignment="1">
      <alignment horizontal="right" wrapText="1"/>
    </xf>
    <xf numFmtId="44" fontId="5" fillId="2" borderId="1" xfId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 wrapText="1"/>
    </xf>
    <xf numFmtId="10" fontId="5" fillId="3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wrapText="1"/>
    </xf>
    <xf numFmtId="0" fontId="5" fillId="4" borderId="1" xfId="0" applyFont="1" applyFill="1" applyBorder="1"/>
    <xf numFmtId="44" fontId="2" fillId="2" borderId="1" xfId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44" fontId="5" fillId="4" borderId="1" xfId="1" applyFont="1" applyFill="1" applyBorder="1" applyAlignment="1">
      <alignment horizontal="right"/>
    </xf>
    <xf numFmtId="44" fontId="5" fillId="0" borderId="1" xfId="1" applyFont="1" applyBorder="1" applyAlignment="1">
      <alignment horizontal="right" wrapText="1"/>
    </xf>
    <xf numFmtId="6" fontId="6" fillId="0" borderId="1" xfId="0" applyNumberFormat="1" applyFont="1" applyBorder="1"/>
    <xf numFmtId="164" fontId="5" fillId="4" borderId="1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right" wrapText="1"/>
    </xf>
    <xf numFmtId="10" fontId="5" fillId="4" borderId="1" xfId="0" applyNumberFormat="1" applyFont="1" applyFill="1" applyBorder="1" applyAlignment="1">
      <alignment horizontal="right" wrapText="1"/>
    </xf>
    <xf numFmtId="44" fontId="5" fillId="2" borderId="1" xfId="1" applyFont="1" applyFill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right" wrapText="1"/>
    </xf>
    <xf numFmtId="10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ghan Elder" id="{3638ADC0-0076-4DB0-93B5-03065C5E7EEF}" userId="S::meghan@msaptassoc.org::cdf974e5-1ebb-4c86-8d6c-5b8fb97a29a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3" dT="2024-09-27T15:07:34.89" personId="{3638ADC0-0076-4DB0-93B5-03065C5E7EEF}" id="{159559EC-C72F-4515-AE24-683A517F8077}">
    <text>.59 per door
$31 per Supplier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00F3-B2D8-4C9B-93D7-A255DA8F46C9}">
  <dimension ref="A1:BJ111"/>
  <sheetViews>
    <sheetView tabSelected="1" topLeftCell="A85" workbookViewId="0">
      <selection activeCell="F93" sqref="F93"/>
    </sheetView>
  </sheetViews>
  <sheetFormatPr defaultColWidth="8.81640625" defaultRowHeight="12.5" x14ac:dyDescent="0.25"/>
  <cols>
    <col min="1" max="1" width="42.1796875" style="3" customWidth="1"/>
    <col min="2" max="5" width="16.26953125" style="3" customWidth="1"/>
    <col min="6" max="6" width="17.453125" style="1" bestFit="1" customWidth="1"/>
    <col min="7" max="7" width="8.81640625" style="2"/>
    <col min="8" max="16384" width="8.81640625" style="3"/>
  </cols>
  <sheetData>
    <row r="1" spans="1:6" ht="13" x14ac:dyDescent="0.3">
      <c r="A1" s="36" t="s">
        <v>0</v>
      </c>
      <c r="B1" s="37"/>
      <c r="C1" s="37"/>
      <c r="D1" s="37"/>
      <c r="E1" s="37"/>
    </row>
    <row r="2" spans="1:6" ht="13" x14ac:dyDescent="0.3">
      <c r="A2" s="36" t="s">
        <v>1</v>
      </c>
      <c r="B2" s="37"/>
      <c r="C2" s="37"/>
      <c r="D2" s="37"/>
      <c r="E2" s="37"/>
    </row>
    <row r="3" spans="1:6" ht="13" x14ac:dyDescent="0.3">
      <c r="A3" s="36" t="s">
        <v>2</v>
      </c>
      <c r="B3" s="37"/>
      <c r="C3" s="37"/>
      <c r="D3" s="37"/>
      <c r="E3" s="37"/>
    </row>
    <row r="4" spans="1:6" ht="13" x14ac:dyDescent="0.3">
      <c r="A4" s="4"/>
      <c r="B4" s="38" t="s">
        <v>3</v>
      </c>
      <c r="C4" s="39"/>
      <c r="D4" s="39"/>
      <c r="E4" s="39"/>
    </row>
    <row r="5" spans="1:6" ht="13" x14ac:dyDescent="0.3">
      <c r="A5" s="4"/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</row>
    <row r="6" spans="1:6" ht="13" x14ac:dyDescent="0.3">
      <c r="A6" s="7" t="s">
        <v>9</v>
      </c>
      <c r="B6" s="8"/>
      <c r="C6" s="8"/>
      <c r="D6" s="8"/>
      <c r="E6" s="8"/>
    </row>
    <row r="7" spans="1:6" ht="13" x14ac:dyDescent="0.3">
      <c r="A7" s="7" t="s">
        <v>10</v>
      </c>
      <c r="B7" s="8"/>
      <c r="C7" s="8"/>
      <c r="D7" s="9"/>
      <c r="E7" s="10" t="str">
        <f t="shared" ref="E7:E44" si="0">IF(C7=0,"",(B7)/(C7))</f>
        <v/>
      </c>
    </row>
    <row r="8" spans="1:6" ht="13" x14ac:dyDescent="0.3">
      <c r="A8" s="7" t="s">
        <v>11</v>
      </c>
      <c r="B8" s="9">
        <f>57995</f>
        <v>57995</v>
      </c>
      <c r="C8" s="9">
        <f>53732.25</f>
        <v>53732.25</v>
      </c>
      <c r="D8" s="9">
        <f t="shared" ref="D8:D13" si="1">(B8)-(C8)</f>
        <v>4262.75</v>
      </c>
      <c r="E8" s="10">
        <f t="shared" si="0"/>
        <v>1.0793331751415585</v>
      </c>
      <c r="F8" s="1">
        <f>AVERAGE(B8:C8)</f>
        <v>55863.625</v>
      </c>
    </row>
    <row r="9" spans="1:6" ht="13" x14ac:dyDescent="0.3">
      <c r="A9" s="7" t="s">
        <v>12</v>
      </c>
      <c r="B9" s="9">
        <f>54225.25</f>
        <v>54225.25</v>
      </c>
      <c r="C9" s="9">
        <f>51213</f>
        <v>51213</v>
      </c>
      <c r="D9" s="9">
        <f t="shared" si="1"/>
        <v>3012.25</v>
      </c>
      <c r="E9" s="10">
        <f t="shared" si="0"/>
        <v>1.0588180735360162</v>
      </c>
      <c r="F9" s="1">
        <v>53000</v>
      </c>
    </row>
    <row r="10" spans="1:6" ht="13" x14ac:dyDescent="0.3">
      <c r="A10" s="7" t="s">
        <v>13</v>
      </c>
      <c r="B10" s="9">
        <f>23902.5</f>
        <v>23902.5</v>
      </c>
      <c r="C10" s="9">
        <f>27750</f>
        <v>27750</v>
      </c>
      <c r="D10" s="9">
        <f t="shared" si="1"/>
        <v>-3847.5</v>
      </c>
      <c r="E10" s="10">
        <f t="shared" si="0"/>
        <v>0.86135135135135132</v>
      </c>
      <c r="F10" s="1">
        <v>23000</v>
      </c>
    </row>
    <row r="11" spans="1:6" ht="13" x14ac:dyDescent="0.3">
      <c r="A11" s="7" t="s">
        <v>14</v>
      </c>
      <c r="B11" s="9">
        <f>7799.97</f>
        <v>7799.97</v>
      </c>
      <c r="C11" s="9">
        <f>7410</f>
        <v>7410</v>
      </c>
      <c r="D11" s="9">
        <f t="shared" si="1"/>
        <v>389.97000000000025</v>
      </c>
      <c r="E11" s="10">
        <f t="shared" si="0"/>
        <v>1.0526275303643724</v>
      </c>
      <c r="F11" s="1">
        <f t="shared" ref="F11" si="2">AVERAGE(B11:C11)</f>
        <v>7604.9850000000006</v>
      </c>
    </row>
    <row r="12" spans="1:6" ht="13" x14ac:dyDescent="0.3">
      <c r="A12" s="7" t="s">
        <v>15</v>
      </c>
      <c r="B12" s="9">
        <f>1177.53</f>
        <v>1177.53</v>
      </c>
      <c r="C12" s="9">
        <f>1350</f>
        <v>1350</v>
      </c>
      <c r="D12" s="9">
        <f t="shared" si="1"/>
        <v>-172.47000000000003</v>
      </c>
      <c r="E12" s="10">
        <f t="shared" si="0"/>
        <v>0.87224444444444438</v>
      </c>
      <c r="F12" s="1">
        <v>1080</v>
      </c>
    </row>
    <row r="13" spans="1:6" ht="13" x14ac:dyDescent="0.3">
      <c r="A13" s="7" t="s">
        <v>16</v>
      </c>
      <c r="B13" s="11">
        <f>(((((B7)+(B8))+(B9))+(B10))+(B11))+(B12)</f>
        <v>145100.25</v>
      </c>
      <c r="C13" s="11">
        <f>(((((C7)+(C8))+(C9))+(C10))+(C11))+(C12)</f>
        <v>141455.25</v>
      </c>
      <c r="D13" s="11">
        <f t="shared" si="1"/>
        <v>3645</v>
      </c>
      <c r="E13" s="12">
        <f t="shared" si="0"/>
        <v>1.025767866516089</v>
      </c>
      <c r="F13" s="13">
        <f>SUM(F8:F12)</f>
        <v>140548.60999999999</v>
      </c>
    </row>
    <row r="14" spans="1:6" ht="13" x14ac:dyDescent="0.3">
      <c r="A14" s="7" t="s">
        <v>17</v>
      </c>
      <c r="B14" s="8"/>
      <c r="C14" s="8"/>
      <c r="D14" s="9">
        <f t="shared" ref="D14:D44" si="3">(B14)-(C14)</f>
        <v>0</v>
      </c>
      <c r="E14" s="10" t="str">
        <f t="shared" si="0"/>
        <v/>
      </c>
    </row>
    <row r="15" spans="1:6" ht="13" x14ac:dyDescent="0.3">
      <c r="A15" s="7" t="s">
        <v>18</v>
      </c>
      <c r="B15" s="9">
        <f>14453.56</f>
        <v>14453.56</v>
      </c>
      <c r="C15" s="9">
        <f>21275</f>
        <v>21275</v>
      </c>
      <c r="D15" s="9">
        <f t="shared" si="3"/>
        <v>-6821.4400000000005</v>
      </c>
      <c r="E15" s="10">
        <f t="shared" si="0"/>
        <v>0.67936827262044652</v>
      </c>
      <c r="F15" s="1">
        <v>17280</v>
      </c>
    </row>
    <row r="16" spans="1:6" ht="13" x14ac:dyDescent="0.3">
      <c r="A16" s="7" t="s">
        <v>19</v>
      </c>
      <c r="B16" s="9">
        <f>79399.99</f>
        <v>79399.990000000005</v>
      </c>
      <c r="C16" s="9">
        <f>97345</f>
        <v>97345</v>
      </c>
      <c r="D16" s="9">
        <f t="shared" si="3"/>
        <v>-17945.009999999995</v>
      </c>
      <c r="E16" s="10">
        <f t="shared" si="0"/>
        <v>0.81565555498484776</v>
      </c>
      <c r="F16" s="1">
        <v>68125</v>
      </c>
    </row>
    <row r="17" spans="1:62" ht="13" x14ac:dyDescent="0.3">
      <c r="A17" s="7" t="s">
        <v>20</v>
      </c>
      <c r="B17" s="9">
        <f>3126.66</f>
        <v>3126.66</v>
      </c>
      <c r="C17" s="9">
        <f>2900</f>
        <v>2900</v>
      </c>
      <c r="D17" s="9">
        <f t="shared" si="3"/>
        <v>226.65999999999985</v>
      </c>
      <c r="E17" s="10">
        <f t="shared" si="0"/>
        <v>1.0781586206896552</v>
      </c>
      <c r="F17" s="1">
        <f>AVERAGE(B17:C17)</f>
        <v>3013.33</v>
      </c>
    </row>
    <row r="18" spans="1:62" ht="13" x14ac:dyDescent="0.3">
      <c r="A18" s="7" t="s">
        <v>21</v>
      </c>
      <c r="B18" s="9">
        <f>2780</f>
        <v>2780</v>
      </c>
      <c r="C18" s="9">
        <f>4060</f>
        <v>4060</v>
      </c>
      <c r="D18" s="9">
        <f t="shared" si="3"/>
        <v>-1280</v>
      </c>
      <c r="E18" s="10">
        <f t="shared" si="0"/>
        <v>0.68472906403940892</v>
      </c>
      <c r="F18" s="1">
        <v>2146</v>
      </c>
    </row>
    <row r="19" spans="1:62" ht="13" x14ac:dyDescent="0.3">
      <c r="A19" s="7" t="s">
        <v>22</v>
      </c>
      <c r="B19" s="9">
        <f>4825.01</f>
        <v>4825.01</v>
      </c>
      <c r="C19" s="9">
        <f>3250</f>
        <v>3250</v>
      </c>
      <c r="D19" s="9">
        <f t="shared" si="3"/>
        <v>1575.0100000000002</v>
      </c>
      <c r="E19" s="10">
        <f t="shared" si="0"/>
        <v>1.4846184615384617</v>
      </c>
      <c r="F19" s="1">
        <v>4500</v>
      </c>
    </row>
    <row r="20" spans="1:62" s="2" customFormat="1" ht="26" x14ac:dyDescent="0.3">
      <c r="A20" s="14" t="s">
        <v>23</v>
      </c>
      <c r="B20" s="20">
        <f>-30</f>
        <v>-30</v>
      </c>
      <c r="C20" s="20">
        <f>1340</f>
        <v>1340</v>
      </c>
      <c r="D20" s="20">
        <f t="shared" si="3"/>
        <v>-1370</v>
      </c>
      <c r="E20" s="21">
        <f t="shared" si="0"/>
        <v>-2.2388059701492536E-2</v>
      </c>
      <c r="F20" s="15">
        <v>0</v>
      </c>
    </row>
    <row r="21" spans="1:62" ht="13" x14ac:dyDescent="0.3">
      <c r="A21" s="7" t="s">
        <v>24</v>
      </c>
      <c r="B21" s="9">
        <f>11117</f>
        <v>11117</v>
      </c>
      <c r="C21" s="9">
        <f>16200</f>
        <v>16200</v>
      </c>
      <c r="D21" s="9">
        <f t="shared" si="3"/>
        <v>-5083</v>
      </c>
      <c r="E21" s="10">
        <f t="shared" si="0"/>
        <v>0.6862345679012346</v>
      </c>
      <c r="F21" s="1">
        <v>14850</v>
      </c>
    </row>
    <row r="22" spans="1:62" ht="13" x14ac:dyDescent="0.3">
      <c r="A22" s="7" t="s">
        <v>25</v>
      </c>
      <c r="B22" s="11">
        <f>(((((((B14)+(B15))+(B16))+(B17))+(B18))+(B19))+(B20))+(B21)</f>
        <v>115672.22</v>
      </c>
      <c r="C22" s="11">
        <f>(((((((C14)+(C15))+(C16))+(C17))+(C18))+(C19))+(C20))+(C21)</f>
        <v>146370</v>
      </c>
      <c r="D22" s="11">
        <f t="shared" si="3"/>
        <v>-30697.78</v>
      </c>
      <c r="E22" s="12">
        <f t="shared" si="0"/>
        <v>0.79027273348363736</v>
      </c>
      <c r="F22" s="13">
        <f>SUM(F15:F21)</f>
        <v>109914.33</v>
      </c>
    </row>
    <row r="23" spans="1:62" ht="13" x14ac:dyDescent="0.3">
      <c r="A23" s="7" t="s">
        <v>26</v>
      </c>
      <c r="B23" s="8"/>
      <c r="C23" s="8"/>
      <c r="D23" s="9">
        <f t="shared" si="3"/>
        <v>0</v>
      </c>
      <c r="E23" s="10" t="str">
        <f t="shared" si="0"/>
        <v/>
      </c>
    </row>
    <row r="24" spans="1:62" ht="13" x14ac:dyDescent="0.3">
      <c r="A24" s="7" t="s">
        <v>27</v>
      </c>
      <c r="B24" s="9">
        <f>2339</f>
        <v>2339</v>
      </c>
      <c r="C24" s="9">
        <f>2650</f>
        <v>2650</v>
      </c>
      <c r="D24" s="9">
        <f t="shared" si="3"/>
        <v>-311</v>
      </c>
      <c r="E24" s="10">
        <f t="shared" si="0"/>
        <v>0.88264150943396225</v>
      </c>
      <c r="F24" s="1">
        <v>2339</v>
      </c>
    </row>
    <row r="25" spans="1:62" ht="13" x14ac:dyDescent="0.3">
      <c r="A25" s="16" t="s">
        <v>28</v>
      </c>
      <c r="B25" s="17">
        <f>1115</f>
        <v>1115</v>
      </c>
      <c r="C25" s="17">
        <f>4200</f>
        <v>4200</v>
      </c>
      <c r="D25" s="17">
        <f t="shared" si="3"/>
        <v>-3085</v>
      </c>
      <c r="E25" s="18">
        <f t="shared" si="0"/>
        <v>0.26547619047619048</v>
      </c>
      <c r="F25" s="19">
        <v>1800</v>
      </c>
    </row>
    <row r="26" spans="1:62" ht="13" x14ac:dyDescent="0.3">
      <c r="A26" s="7" t="s">
        <v>29</v>
      </c>
      <c r="B26" s="9">
        <f>3078.53</f>
        <v>3078.53</v>
      </c>
      <c r="C26" s="9">
        <f>1742</f>
        <v>1742</v>
      </c>
      <c r="D26" s="9">
        <f t="shared" si="3"/>
        <v>1336.5300000000002</v>
      </c>
      <c r="E26" s="10">
        <f t="shared" si="0"/>
        <v>1.7672388059701494</v>
      </c>
      <c r="F26" s="1">
        <v>2955</v>
      </c>
    </row>
    <row r="27" spans="1:62" ht="26" x14ac:dyDescent="0.3">
      <c r="A27" s="14" t="s">
        <v>30</v>
      </c>
      <c r="B27" s="20">
        <f>750</f>
        <v>750</v>
      </c>
      <c r="C27" s="20">
        <f>1340</f>
        <v>1340</v>
      </c>
      <c r="D27" s="20">
        <f t="shared" si="3"/>
        <v>-590</v>
      </c>
      <c r="E27" s="21">
        <f t="shared" si="0"/>
        <v>0.55970149253731338</v>
      </c>
      <c r="F27" s="15">
        <v>0</v>
      </c>
    </row>
    <row r="28" spans="1:62" ht="13" x14ac:dyDescent="0.3">
      <c r="A28" s="7" t="s">
        <v>31</v>
      </c>
      <c r="B28" s="9">
        <f>3826</f>
        <v>3826</v>
      </c>
      <c r="C28" s="9">
        <f>6550</f>
        <v>6550</v>
      </c>
      <c r="D28" s="9">
        <f t="shared" si="3"/>
        <v>-2724</v>
      </c>
      <c r="E28" s="10">
        <f t="shared" si="0"/>
        <v>0.58412213740458019</v>
      </c>
      <c r="F28" s="1">
        <v>3826</v>
      </c>
    </row>
    <row r="29" spans="1:62" ht="13" x14ac:dyDescent="0.3">
      <c r="A29" s="7" t="s">
        <v>32</v>
      </c>
      <c r="B29" s="11">
        <f>(((((B23)+(B24))+(B25))+(B26))+(B27))+(B28)</f>
        <v>11108.53</v>
      </c>
      <c r="C29" s="11">
        <f>(((((C23)+(C24))+(C25))+(C26))+(C27))+(C28)</f>
        <v>16482</v>
      </c>
      <c r="D29" s="11">
        <f t="shared" si="3"/>
        <v>-5373.4699999999993</v>
      </c>
      <c r="E29" s="12">
        <f t="shared" si="0"/>
        <v>0.67397949278000246</v>
      </c>
      <c r="F29" s="13">
        <f>SUM(F24:F28)</f>
        <v>10920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23" customFormat="1" ht="13" x14ac:dyDescent="0.3">
      <c r="A30" s="16" t="s">
        <v>33</v>
      </c>
      <c r="B30" s="22"/>
      <c r="C30" s="22"/>
      <c r="D30" s="17">
        <f t="shared" si="3"/>
        <v>0</v>
      </c>
      <c r="E30" s="18" t="str">
        <f t="shared" si="0"/>
        <v/>
      </c>
      <c r="F30" s="1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23" customFormat="1" ht="13" x14ac:dyDescent="0.3">
      <c r="A31" s="16" t="s">
        <v>34</v>
      </c>
      <c r="B31" s="22"/>
      <c r="C31" s="17">
        <f>625</f>
        <v>625</v>
      </c>
      <c r="D31" s="17">
        <f t="shared" si="3"/>
        <v>-625</v>
      </c>
      <c r="E31" s="18">
        <f t="shared" si="0"/>
        <v>0</v>
      </c>
      <c r="F31" s="19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23" customFormat="1" ht="13" x14ac:dyDescent="0.3">
      <c r="A32" s="16" t="s">
        <v>35</v>
      </c>
      <c r="B32" s="17">
        <f>129.72</f>
        <v>129.72</v>
      </c>
      <c r="C32" s="17">
        <f>24.29</f>
        <v>24.29</v>
      </c>
      <c r="D32" s="17">
        <f t="shared" si="3"/>
        <v>105.43</v>
      </c>
      <c r="E32" s="18">
        <f t="shared" si="0"/>
        <v>5.3404693289419516</v>
      </c>
      <c r="F32" s="19">
        <v>129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23" customFormat="1" ht="13" x14ac:dyDescent="0.3">
      <c r="A33" s="16" t="s">
        <v>36</v>
      </c>
      <c r="B33" s="9">
        <f>42842.84</f>
        <v>42842.84</v>
      </c>
      <c r="C33" s="9">
        <f>49000</f>
        <v>49000</v>
      </c>
      <c r="D33" s="9">
        <f t="shared" si="3"/>
        <v>-6157.1600000000035</v>
      </c>
      <c r="E33" s="10">
        <f t="shared" si="0"/>
        <v>0.87434367346938768</v>
      </c>
      <c r="F33" s="19">
        <v>48700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23" customFormat="1" ht="13" x14ac:dyDescent="0.3">
      <c r="A34" s="16" t="s">
        <v>37</v>
      </c>
      <c r="B34" s="9">
        <f>313</f>
        <v>313</v>
      </c>
      <c r="C34" s="8"/>
      <c r="D34" s="9">
        <f t="shared" si="3"/>
        <v>313</v>
      </c>
      <c r="E34" s="10" t="str">
        <f t="shared" si="0"/>
        <v/>
      </c>
      <c r="F34" s="19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23" customFormat="1" ht="13" x14ac:dyDescent="0.3">
      <c r="A35" s="16" t="s">
        <v>38</v>
      </c>
      <c r="B35" s="9">
        <f>1603.38</f>
        <v>1603.38</v>
      </c>
      <c r="C35" s="8"/>
      <c r="D35" s="9">
        <f t="shared" si="3"/>
        <v>1603.38</v>
      </c>
      <c r="E35" s="10" t="str">
        <f t="shared" si="0"/>
        <v/>
      </c>
      <c r="F35" s="19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23" customFormat="1" ht="13" x14ac:dyDescent="0.3">
      <c r="A36" s="16" t="s">
        <v>39</v>
      </c>
      <c r="B36" s="11">
        <f>(((((B30)+(B31))+(B32))+(B33))+(B34))+(B35)</f>
        <v>44888.939999999995</v>
      </c>
      <c r="C36" s="11">
        <f>(((((C30)+(C31))+(C32))+(C33))+(C34))+(C35)</f>
        <v>49649.29</v>
      </c>
      <c r="D36" s="11">
        <f t="shared" si="3"/>
        <v>-4760.3500000000058</v>
      </c>
      <c r="E36" s="12">
        <f t="shared" si="0"/>
        <v>0.90412048188403082</v>
      </c>
      <c r="F36" s="24">
        <f>SUM(F30:F35)</f>
        <v>48829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23" customFormat="1" ht="13" x14ac:dyDescent="0.3">
      <c r="A37" s="16" t="s">
        <v>40</v>
      </c>
      <c r="B37" s="9">
        <f>220</f>
        <v>220</v>
      </c>
      <c r="C37" s="9">
        <f>1500</f>
        <v>1500</v>
      </c>
      <c r="D37" s="9">
        <f t="shared" si="3"/>
        <v>-1280</v>
      </c>
      <c r="E37" s="10">
        <f t="shared" si="0"/>
        <v>0.14666666666666667</v>
      </c>
      <c r="F37" s="19">
        <v>2000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23" customFormat="1" ht="13" x14ac:dyDescent="0.3">
      <c r="A38" s="16" t="s">
        <v>41</v>
      </c>
      <c r="B38" s="8"/>
      <c r="C38" s="9">
        <f>6100</f>
        <v>6100</v>
      </c>
      <c r="D38" s="9">
        <f t="shared" si="3"/>
        <v>-6100</v>
      </c>
      <c r="E38" s="10">
        <f t="shared" si="0"/>
        <v>0</v>
      </c>
      <c r="F38" s="19">
        <v>6100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s="23" customFormat="1" ht="13" x14ac:dyDescent="0.3">
      <c r="A39" s="14" t="s">
        <v>42</v>
      </c>
      <c r="B39" s="20">
        <f>4925</f>
        <v>4925</v>
      </c>
      <c r="C39" s="25"/>
      <c r="D39" s="20">
        <f t="shared" si="3"/>
        <v>4925</v>
      </c>
      <c r="E39" s="21" t="str">
        <f t="shared" si="0"/>
        <v/>
      </c>
      <c r="F39" s="1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s="23" customFormat="1" ht="13" x14ac:dyDescent="0.3">
      <c r="A40" s="26" t="s">
        <v>43</v>
      </c>
      <c r="B40" s="30"/>
      <c r="C40" s="31">
        <f>986.6</f>
        <v>986.6</v>
      </c>
      <c r="D40" s="31">
        <f t="shared" si="3"/>
        <v>-986.6</v>
      </c>
      <c r="E40" s="32">
        <f t="shared" si="0"/>
        <v>0</v>
      </c>
      <c r="F40" s="2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s="23" customFormat="1" ht="13" x14ac:dyDescent="0.3">
      <c r="A41" s="26" t="s">
        <v>44</v>
      </c>
      <c r="B41" s="31">
        <f>-11742</f>
        <v>-11742</v>
      </c>
      <c r="C41" s="30"/>
      <c r="D41" s="31">
        <f t="shared" si="3"/>
        <v>-11742</v>
      </c>
      <c r="E41" s="32" t="str">
        <f t="shared" si="0"/>
        <v/>
      </c>
      <c r="F41" s="3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s="23" customFormat="1" ht="13" x14ac:dyDescent="0.3">
      <c r="A42" s="26" t="s">
        <v>45</v>
      </c>
      <c r="B42" s="31">
        <f>20.64</f>
        <v>20.64</v>
      </c>
      <c r="C42" s="30"/>
      <c r="D42" s="31">
        <f t="shared" si="3"/>
        <v>20.64</v>
      </c>
      <c r="E42" s="32" t="str">
        <f t="shared" si="0"/>
        <v/>
      </c>
      <c r="F42" s="3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ht="13" x14ac:dyDescent="0.3">
      <c r="A43" s="7" t="s">
        <v>46</v>
      </c>
      <c r="B43" s="11">
        <f>(((((((((B13)+(B22))+(B29))+(B36))+(B37))+(B38))+(B39))+(B40))+(B41))+(B42)</f>
        <v>310193.58</v>
      </c>
      <c r="C43" s="11">
        <f>(((((((((C13)+(C22))+(C29))+(C36))+(C37))+(C38))+(C39))+(C40))+(C41))+(C42)</f>
        <v>362543.13999999996</v>
      </c>
      <c r="D43" s="11">
        <f t="shared" si="3"/>
        <v>-52349.559999999939</v>
      </c>
      <c r="E43" s="12">
        <f t="shared" si="0"/>
        <v>0.85560460473752187</v>
      </c>
      <c r="F43" s="13">
        <f>SUM(F13,F22,F29,F36:F42)</f>
        <v>318311.94</v>
      </c>
    </row>
    <row r="44" spans="1:62" ht="13" x14ac:dyDescent="0.3">
      <c r="A44" s="7" t="s">
        <v>47</v>
      </c>
      <c r="B44" s="11">
        <f>(B43)-(0)</f>
        <v>310193.58</v>
      </c>
      <c r="C44" s="11">
        <f>(C43)-(0)</f>
        <v>362543.13999999996</v>
      </c>
      <c r="D44" s="11">
        <f t="shared" si="3"/>
        <v>-52349.559999999939</v>
      </c>
      <c r="E44" s="12">
        <f t="shared" si="0"/>
        <v>0.85560460473752187</v>
      </c>
      <c r="F44" s="13">
        <f>SUM(F13,F22,F29,F36:F42)</f>
        <v>318311.94</v>
      </c>
    </row>
    <row r="45" spans="1:62" ht="13" x14ac:dyDescent="0.3">
      <c r="A45" s="7" t="s">
        <v>48</v>
      </c>
      <c r="B45" s="8"/>
      <c r="C45" s="8"/>
      <c r="D45" s="8"/>
      <c r="E45" s="8"/>
    </row>
    <row r="46" spans="1:62" ht="13" x14ac:dyDescent="0.3">
      <c r="A46" s="7" t="s">
        <v>49</v>
      </c>
      <c r="B46" s="9">
        <f>151.13</f>
        <v>151.13</v>
      </c>
      <c r="C46" s="8"/>
      <c r="D46" s="9">
        <f t="shared" ref="D46:D56" si="4">(B46)-(C46)</f>
        <v>151.13</v>
      </c>
      <c r="E46" s="10" t="str">
        <f t="shared" ref="E46:E56" si="5">IF(C46=0,"",(B46)/(C46))</f>
        <v/>
      </c>
    </row>
    <row r="47" spans="1:62" ht="13" x14ac:dyDescent="0.3">
      <c r="A47" s="7" t="s">
        <v>50</v>
      </c>
      <c r="B47" s="9">
        <f>393.39</f>
        <v>393.39</v>
      </c>
      <c r="C47" s="9">
        <f>1000</f>
        <v>1000</v>
      </c>
      <c r="D47" s="9">
        <f t="shared" si="4"/>
        <v>-606.61</v>
      </c>
      <c r="E47" s="10">
        <f t="shared" si="5"/>
        <v>0.39338999999999996</v>
      </c>
      <c r="F47" s="28">
        <v>500</v>
      </c>
    </row>
    <row r="48" spans="1:62" ht="13" x14ac:dyDescent="0.3">
      <c r="A48" s="7" t="s">
        <v>51</v>
      </c>
      <c r="B48" s="9">
        <f>3217.92</f>
        <v>3217.92</v>
      </c>
      <c r="C48" s="9">
        <f>4324</f>
        <v>4324</v>
      </c>
      <c r="D48" s="9">
        <f t="shared" si="4"/>
        <v>-1106.08</v>
      </c>
      <c r="E48" s="10">
        <f t="shared" si="5"/>
        <v>0.74419981498612398</v>
      </c>
      <c r="F48" s="28">
        <f>4324</f>
        <v>4324</v>
      </c>
    </row>
    <row r="49" spans="1:6" ht="13" x14ac:dyDescent="0.3">
      <c r="A49" s="7" t="s">
        <v>52</v>
      </c>
      <c r="B49" s="9">
        <f>7195.05</f>
        <v>7195.05</v>
      </c>
      <c r="C49" s="9">
        <f>9544.32</f>
        <v>9544.32</v>
      </c>
      <c r="D49" s="9">
        <f t="shared" si="4"/>
        <v>-2349.2699999999995</v>
      </c>
      <c r="E49" s="10">
        <f t="shared" si="5"/>
        <v>0.75385674411587211</v>
      </c>
      <c r="F49" s="28">
        <f>9822.32</f>
        <v>9822.32</v>
      </c>
    </row>
    <row r="50" spans="1:6" ht="13" x14ac:dyDescent="0.3">
      <c r="A50" s="7" t="s">
        <v>53</v>
      </c>
      <c r="B50" s="9">
        <f>3272.68</f>
        <v>3272.68</v>
      </c>
      <c r="C50" s="9">
        <f>1800</f>
        <v>1800</v>
      </c>
      <c r="D50" s="9">
        <f t="shared" si="4"/>
        <v>1472.6799999999998</v>
      </c>
      <c r="E50" s="10">
        <f t="shared" si="5"/>
        <v>1.8181555555555555</v>
      </c>
      <c r="F50" s="28">
        <v>2525</v>
      </c>
    </row>
    <row r="51" spans="1:6" s="2" customFormat="1" ht="13" x14ac:dyDescent="0.3">
      <c r="A51" s="16" t="s">
        <v>54</v>
      </c>
      <c r="B51" s="17">
        <f>10</f>
        <v>10</v>
      </c>
      <c r="C51" s="17">
        <f>150</f>
        <v>150</v>
      </c>
      <c r="D51" s="17">
        <f t="shared" si="4"/>
        <v>-140</v>
      </c>
      <c r="E51" s="18">
        <f t="shared" si="5"/>
        <v>6.6666666666666666E-2</v>
      </c>
      <c r="F51" s="19">
        <v>150</v>
      </c>
    </row>
    <row r="52" spans="1:6" s="2" customFormat="1" ht="13" x14ac:dyDescent="0.3">
      <c r="A52" s="16" t="s">
        <v>55</v>
      </c>
      <c r="B52" s="17">
        <f>119.77</f>
        <v>119.77</v>
      </c>
      <c r="C52" s="22"/>
      <c r="D52" s="17">
        <f t="shared" si="4"/>
        <v>119.77</v>
      </c>
      <c r="E52" s="18" t="str">
        <f t="shared" si="5"/>
        <v/>
      </c>
      <c r="F52" s="33">
        <f>119.77</f>
        <v>119.77</v>
      </c>
    </row>
    <row r="53" spans="1:6" ht="13" x14ac:dyDescent="0.3">
      <c r="A53" s="16" t="s">
        <v>56</v>
      </c>
      <c r="B53" s="17">
        <f>16990.47</f>
        <v>16990.47</v>
      </c>
      <c r="C53" s="17">
        <f>22502.62</f>
        <v>22502.62</v>
      </c>
      <c r="D53" s="17">
        <f t="shared" si="4"/>
        <v>-5512.1499999999978</v>
      </c>
      <c r="E53" s="18">
        <f t="shared" si="5"/>
        <v>0.75504407931165363</v>
      </c>
      <c r="F53" s="19">
        <v>23300</v>
      </c>
    </row>
    <row r="54" spans="1:6" s="2" customFormat="1" ht="13" x14ac:dyDescent="0.3">
      <c r="A54" s="16" t="s">
        <v>57</v>
      </c>
      <c r="B54" s="17">
        <f>251.83</f>
        <v>251.83</v>
      </c>
      <c r="C54" s="22"/>
      <c r="D54" s="17">
        <f t="shared" si="4"/>
        <v>251.83</v>
      </c>
      <c r="E54" s="18" t="str">
        <f t="shared" si="5"/>
        <v/>
      </c>
      <c r="F54" s="19">
        <v>0</v>
      </c>
    </row>
    <row r="55" spans="1:6" ht="13" x14ac:dyDescent="0.3">
      <c r="A55" s="7" t="s">
        <v>58</v>
      </c>
      <c r="B55" s="9">
        <f>261.97</f>
        <v>261.97000000000003</v>
      </c>
      <c r="C55" s="9">
        <f>360</f>
        <v>360</v>
      </c>
      <c r="D55" s="9">
        <f t="shared" si="4"/>
        <v>-98.029999999999973</v>
      </c>
      <c r="E55" s="10">
        <f t="shared" si="5"/>
        <v>0.72769444444444453</v>
      </c>
      <c r="F55" s="1">
        <v>360</v>
      </c>
    </row>
    <row r="56" spans="1:6" s="2" customFormat="1" ht="13" x14ac:dyDescent="0.3">
      <c r="A56" s="16" t="s">
        <v>59</v>
      </c>
      <c r="B56" s="17">
        <f>2531.06</f>
        <v>2531.06</v>
      </c>
      <c r="C56" s="17">
        <f>1500</f>
        <v>1500</v>
      </c>
      <c r="D56" s="17">
        <f t="shared" si="4"/>
        <v>1031.06</v>
      </c>
      <c r="E56" s="18">
        <f t="shared" si="5"/>
        <v>1.6873733333333334</v>
      </c>
      <c r="F56" s="19">
        <v>3181</v>
      </c>
    </row>
    <row r="57" spans="1:6" ht="13" x14ac:dyDescent="0.3">
      <c r="A57" s="7" t="s">
        <v>60</v>
      </c>
      <c r="B57" s="11">
        <f>((((((((((B46)+(B47))+(B48))+(B49))+(B50))+(B51))+(B52))+(B53))+(B54))+(B55))+(B56)</f>
        <v>34395.270000000004</v>
      </c>
      <c r="C57" s="11">
        <f>((((((((((C46)+(C47))+(C48))+(C49))+(C50))+(C51))+(C52))+(C53))+(C54))+(C55))+(C56)</f>
        <v>41180.94</v>
      </c>
      <c r="D57" s="11">
        <f t="shared" ref="D57:D107" si="6">(B57)-(C57)</f>
        <v>-6785.6699999999983</v>
      </c>
      <c r="E57" s="12">
        <f t="shared" ref="E57:E107" si="7">IF(C57=0,"",(B57)/(C57))</f>
        <v>0.8352230425046151</v>
      </c>
      <c r="F57" s="13">
        <f>SUM(F46:F56)</f>
        <v>44282.09</v>
      </c>
    </row>
    <row r="58" spans="1:6" ht="13" x14ac:dyDescent="0.3">
      <c r="A58" s="7" t="s">
        <v>61</v>
      </c>
      <c r="B58" s="9">
        <v>0</v>
      </c>
      <c r="C58" s="8"/>
      <c r="D58" s="9">
        <f t="shared" si="6"/>
        <v>0</v>
      </c>
      <c r="E58" s="10" t="str">
        <f t="shared" si="7"/>
        <v/>
      </c>
    </row>
    <row r="59" spans="1:6" ht="13" x14ac:dyDescent="0.3">
      <c r="A59" s="7" t="s">
        <v>62</v>
      </c>
      <c r="B59" s="9">
        <f>35000</f>
        <v>35000</v>
      </c>
      <c r="C59" s="9">
        <f>42000</f>
        <v>42000</v>
      </c>
      <c r="D59" s="9">
        <f t="shared" si="6"/>
        <v>-7000</v>
      </c>
      <c r="E59" s="10">
        <f t="shared" si="7"/>
        <v>0.83333333333333337</v>
      </c>
      <c r="F59" s="28">
        <v>24000</v>
      </c>
    </row>
    <row r="60" spans="1:6" s="2" customFormat="1" ht="13" x14ac:dyDescent="0.3">
      <c r="A60" s="16" t="s">
        <v>63</v>
      </c>
      <c r="B60" s="22"/>
      <c r="C60" s="17">
        <f>1400</f>
        <v>1400</v>
      </c>
      <c r="D60" s="17">
        <f t="shared" si="6"/>
        <v>-1400</v>
      </c>
      <c r="E60" s="18">
        <f t="shared" si="7"/>
        <v>0</v>
      </c>
      <c r="F60" s="19">
        <v>0</v>
      </c>
    </row>
    <row r="61" spans="1:6" s="2" customFormat="1" ht="13" x14ac:dyDescent="0.3">
      <c r="A61" s="16" t="s">
        <v>64</v>
      </c>
      <c r="B61" s="22"/>
      <c r="C61" s="17">
        <f>5000</f>
        <v>5000</v>
      </c>
      <c r="D61" s="17">
        <f t="shared" si="6"/>
        <v>-5000</v>
      </c>
      <c r="E61" s="18">
        <f t="shared" si="7"/>
        <v>0</v>
      </c>
      <c r="F61" s="19">
        <v>10000</v>
      </c>
    </row>
    <row r="62" spans="1:6" s="2" customFormat="1" ht="13" x14ac:dyDescent="0.3">
      <c r="A62" s="16" t="s">
        <v>65</v>
      </c>
      <c r="B62" s="17">
        <f>6050</f>
        <v>6050</v>
      </c>
      <c r="C62" s="17">
        <f>6300</f>
        <v>6300</v>
      </c>
      <c r="D62" s="17">
        <f t="shared" si="6"/>
        <v>-250</v>
      </c>
      <c r="E62" s="18">
        <f t="shared" si="7"/>
        <v>0.96031746031746035</v>
      </c>
      <c r="F62" s="19">
        <v>6680</v>
      </c>
    </row>
    <row r="63" spans="1:6" ht="13" x14ac:dyDescent="0.3">
      <c r="A63" s="7" t="s">
        <v>66</v>
      </c>
      <c r="B63" s="11">
        <f>((((B58)+(B59))+(B60))+(B61))+(B62)</f>
        <v>41050</v>
      </c>
      <c r="C63" s="11">
        <f>((((C58)+(C59))+(C60))+(C61))+(C62)</f>
        <v>54700</v>
      </c>
      <c r="D63" s="11">
        <f t="shared" si="6"/>
        <v>-13650</v>
      </c>
      <c r="E63" s="12">
        <f t="shared" si="7"/>
        <v>0.75045703839122491</v>
      </c>
      <c r="F63" s="13">
        <f>SUM(F58:F62)</f>
        <v>40680</v>
      </c>
    </row>
    <row r="64" spans="1:6" ht="13" x14ac:dyDescent="0.3">
      <c r="A64" s="7" t="s">
        <v>67</v>
      </c>
      <c r="B64" s="8"/>
      <c r="C64" s="8"/>
      <c r="D64" s="9"/>
      <c r="E64" s="10" t="str">
        <f t="shared" si="7"/>
        <v/>
      </c>
    </row>
    <row r="65" spans="1:6" ht="13" x14ac:dyDescent="0.3">
      <c r="A65" s="7" t="s">
        <v>68</v>
      </c>
      <c r="B65" s="9">
        <f>14906.35</f>
        <v>14906.35</v>
      </c>
      <c r="C65" s="9">
        <f>15400</f>
        <v>15400</v>
      </c>
      <c r="D65" s="9">
        <f t="shared" ref="D65:D72" si="8">(B65)-(C65)</f>
        <v>-493.64999999999964</v>
      </c>
      <c r="E65" s="10">
        <f t="shared" si="7"/>
        <v>0.96794480519480519</v>
      </c>
      <c r="F65" s="29">
        <v>20722</v>
      </c>
    </row>
    <row r="66" spans="1:6" ht="13" x14ac:dyDescent="0.3">
      <c r="A66" s="7" t="s">
        <v>69</v>
      </c>
      <c r="B66" s="9">
        <f>51267.26</f>
        <v>51267.26</v>
      </c>
      <c r="C66" s="9">
        <f>79758</f>
        <v>79758</v>
      </c>
      <c r="D66" s="9">
        <f t="shared" si="8"/>
        <v>-28490.739999999998</v>
      </c>
      <c r="E66" s="10">
        <f t="shared" si="7"/>
        <v>0.64278517515484346</v>
      </c>
      <c r="F66" s="1">
        <v>39430</v>
      </c>
    </row>
    <row r="67" spans="1:6" ht="13" x14ac:dyDescent="0.3">
      <c r="A67" s="7" t="s">
        <v>70</v>
      </c>
      <c r="B67" s="9">
        <f>4363.58</f>
        <v>4363.58</v>
      </c>
      <c r="C67" s="9">
        <f>4000</f>
        <v>4000</v>
      </c>
      <c r="D67" s="9">
        <f t="shared" si="8"/>
        <v>363.57999999999993</v>
      </c>
      <c r="E67" s="10">
        <f t="shared" si="7"/>
        <v>1.0908949999999999</v>
      </c>
      <c r="F67" s="1">
        <f>AVERAGE(B67:C67)</f>
        <v>4181.79</v>
      </c>
    </row>
    <row r="68" spans="1:6" s="2" customFormat="1" ht="13" x14ac:dyDescent="0.3">
      <c r="A68" s="16" t="s">
        <v>71</v>
      </c>
      <c r="B68" s="17">
        <f>1325.43</f>
        <v>1325.43</v>
      </c>
      <c r="C68" s="17">
        <f>2840</f>
        <v>2840</v>
      </c>
      <c r="D68" s="17">
        <f t="shared" si="8"/>
        <v>-1514.57</v>
      </c>
      <c r="E68" s="18">
        <f t="shared" si="7"/>
        <v>0.46670070422535215</v>
      </c>
      <c r="F68" s="19">
        <f>AVERAGE(B68:C68)</f>
        <v>2082.7150000000001</v>
      </c>
    </row>
    <row r="69" spans="1:6" ht="13" x14ac:dyDescent="0.3">
      <c r="A69" s="7" t="s">
        <v>72</v>
      </c>
      <c r="B69" s="8"/>
      <c r="C69" s="9">
        <f>0</f>
        <v>0</v>
      </c>
      <c r="D69" s="9">
        <f t="shared" si="8"/>
        <v>0</v>
      </c>
      <c r="E69" s="10" t="str">
        <f t="shared" si="7"/>
        <v/>
      </c>
      <c r="F69" s="1">
        <v>0</v>
      </c>
    </row>
    <row r="70" spans="1:6" ht="13" x14ac:dyDescent="0.3">
      <c r="A70" s="7" t="s">
        <v>73</v>
      </c>
      <c r="B70" s="9">
        <f>9099.08</f>
        <v>9099.08</v>
      </c>
      <c r="C70" s="9">
        <f>6901</f>
        <v>6901</v>
      </c>
      <c r="D70" s="9">
        <f t="shared" si="8"/>
        <v>2198.08</v>
      </c>
      <c r="E70" s="10">
        <f t="shared" si="7"/>
        <v>1.3185161570786843</v>
      </c>
      <c r="F70" s="1">
        <v>9099</v>
      </c>
    </row>
    <row r="71" spans="1:6" ht="13" x14ac:dyDescent="0.3">
      <c r="A71" s="7" t="s">
        <v>74</v>
      </c>
      <c r="B71" s="9">
        <f>1078.31</f>
        <v>1078.31</v>
      </c>
      <c r="C71" s="9">
        <f>2850</f>
        <v>2850</v>
      </c>
      <c r="D71" s="9">
        <f t="shared" si="8"/>
        <v>-1771.69</v>
      </c>
      <c r="E71" s="10">
        <f t="shared" si="7"/>
        <v>0.37835438596491228</v>
      </c>
      <c r="F71" s="1">
        <v>1078</v>
      </c>
    </row>
    <row r="72" spans="1:6" ht="13" x14ac:dyDescent="0.3">
      <c r="A72" s="7" t="s">
        <v>75</v>
      </c>
      <c r="B72" s="11">
        <f>(((((((B64)+(B65))+(B66))+(B67))+(B68))+(B69))+(B70))+(B71)</f>
        <v>82040.009999999995</v>
      </c>
      <c r="C72" s="11">
        <f>(((((((C64)+(C65))+(C66))+(C67))+(C68))+(C69))+(C70))+(C71)</f>
        <v>111749</v>
      </c>
      <c r="D72" s="11">
        <f t="shared" si="8"/>
        <v>-29708.990000000005</v>
      </c>
      <c r="E72" s="12">
        <f t="shared" si="7"/>
        <v>0.73414536147974474</v>
      </c>
      <c r="F72" s="13">
        <f>SUM(F64:F71)</f>
        <v>76593.505000000005</v>
      </c>
    </row>
    <row r="73" spans="1:6" ht="13" x14ac:dyDescent="0.3">
      <c r="A73" s="7" t="s">
        <v>76</v>
      </c>
      <c r="B73" s="8"/>
      <c r="C73" s="8"/>
      <c r="D73" s="9">
        <f t="shared" si="6"/>
        <v>0</v>
      </c>
      <c r="E73" s="10" t="str">
        <f t="shared" si="7"/>
        <v/>
      </c>
    </row>
    <row r="74" spans="1:6" ht="13" x14ac:dyDescent="0.3">
      <c r="A74" s="7" t="s">
        <v>77</v>
      </c>
      <c r="B74" s="9">
        <f>829.79</f>
        <v>829.79</v>
      </c>
      <c r="C74" s="9">
        <f>1400</f>
        <v>1400</v>
      </c>
      <c r="D74" s="9">
        <f t="shared" si="6"/>
        <v>-570.21</v>
      </c>
      <c r="E74" s="10">
        <f t="shared" si="7"/>
        <v>0.59270714285714288</v>
      </c>
      <c r="F74" s="1">
        <f>AVERAGE(B74:C74)</f>
        <v>1114.895</v>
      </c>
    </row>
    <row r="75" spans="1:6" s="2" customFormat="1" ht="13" x14ac:dyDescent="0.3">
      <c r="A75" s="16" t="s">
        <v>78</v>
      </c>
      <c r="B75" s="22"/>
      <c r="C75" s="17">
        <f>2800</f>
        <v>2800</v>
      </c>
      <c r="D75" s="17">
        <f t="shared" si="6"/>
        <v>-2800</v>
      </c>
      <c r="E75" s="18">
        <f t="shared" si="7"/>
        <v>0</v>
      </c>
      <c r="F75" s="19">
        <v>2000</v>
      </c>
    </row>
    <row r="76" spans="1:6" ht="13" x14ac:dyDescent="0.3">
      <c r="A76" s="7" t="s">
        <v>79</v>
      </c>
      <c r="B76" s="9">
        <f>1769.63</f>
        <v>1769.63</v>
      </c>
      <c r="C76" s="9">
        <f>1300</f>
        <v>1300</v>
      </c>
      <c r="D76" s="9">
        <f t="shared" si="6"/>
        <v>469.63000000000011</v>
      </c>
      <c r="E76" s="10">
        <f t="shared" si="7"/>
        <v>1.3612538461538461</v>
      </c>
      <c r="F76" s="1">
        <v>1769</v>
      </c>
    </row>
    <row r="77" spans="1:6" ht="13" x14ac:dyDescent="0.3">
      <c r="A77" s="7" t="s">
        <v>80</v>
      </c>
      <c r="B77" s="9">
        <f>900</f>
        <v>900</v>
      </c>
      <c r="C77" s="9">
        <f>2550</f>
        <v>2550</v>
      </c>
      <c r="D77" s="9">
        <f t="shared" si="6"/>
        <v>-1650</v>
      </c>
      <c r="E77" s="10">
        <f t="shared" si="7"/>
        <v>0.35294117647058826</v>
      </c>
      <c r="F77" s="1">
        <v>900</v>
      </c>
    </row>
    <row r="78" spans="1:6" ht="13" x14ac:dyDescent="0.3">
      <c r="A78" s="7" t="s">
        <v>81</v>
      </c>
      <c r="B78" s="9">
        <f>6479.03</f>
        <v>6479.03</v>
      </c>
      <c r="C78" s="9">
        <f>6325</f>
        <v>6325</v>
      </c>
      <c r="D78" s="9">
        <f t="shared" si="6"/>
        <v>154.02999999999975</v>
      </c>
      <c r="E78" s="10">
        <f t="shared" si="7"/>
        <v>1.0243525691699604</v>
      </c>
      <c r="F78" s="1">
        <f>AVERAGE(B78:C78)</f>
        <v>6402.0149999999994</v>
      </c>
    </row>
    <row r="79" spans="1:6" ht="13" x14ac:dyDescent="0.3">
      <c r="A79" s="7" t="s">
        <v>82</v>
      </c>
      <c r="B79" s="11">
        <f>(((((B73)+(B74))+(B75))+(B76))+(B77))+(B78)</f>
        <v>9978.4500000000007</v>
      </c>
      <c r="C79" s="11">
        <f>(((((C73)+(C74))+(C75))+(C76))+(C77))+(C78)</f>
        <v>14375</v>
      </c>
      <c r="D79" s="11">
        <f t="shared" si="6"/>
        <v>-4396.5499999999993</v>
      </c>
      <c r="E79" s="12">
        <f t="shared" si="7"/>
        <v>0.6941530434782609</v>
      </c>
      <c r="F79" s="13">
        <f>SUM(F74:F78)</f>
        <v>12185.91</v>
      </c>
    </row>
    <row r="80" spans="1:6" ht="13" x14ac:dyDescent="0.3">
      <c r="A80" s="7" t="s">
        <v>83</v>
      </c>
      <c r="B80" s="8"/>
      <c r="C80" s="8"/>
      <c r="D80" s="9">
        <f t="shared" si="6"/>
        <v>0</v>
      </c>
      <c r="E80" s="10" t="str">
        <f t="shared" si="7"/>
        <v/>
      </c>
    </row>
    <row r="81" spans="1:6" s="2" customFormat="1" ht="13" x14ac:dyDescent="0.3">
      <c r="A81" s="16" t="s">
        <v>84</v>
      </c>
      <c r="B81" s="17">
        <f>822.08</f>
        <v>822.08</v>
      </c>
      <c r="C81" s="17">
        <f>1000</f>
        <v>1000</v>
      </c>
      <c r="D81" s="17">
        <f t="shared" si="6"/>
        <v>-177.91999999999996</v>
      </c>
      <c r="E81" s="18">
        <f t="shared" si="7"/>
        <v>0.82208000000000003</v>
      </c>
      <c r="F81" s="33">
        <f>1000</f>
        <v>1000</v>
      </c>
    </row>
    <row r="82" spans="1:6" s="2" customFormat="1" ht="13" x14ac:dyDescent="0.3">
      <c r="A82" s="16" t="s">
        <v>85</v>
      </c>
      <c r="B82" s="17">
        <f>1641.65</f>
        <v>1641.65</v>
      </c>
      <c r="C82" s="17">
        <f>3000</f>
        <v>3000</v>
      </c>
      <c r="D82" s="17">
        <f t="shared" si="6"/>
        <v>-1358.35</v>
      </c>
      <c r="E82" s="18">
        <f t="shared" si="7"/>
        <v>0.54721666666666668</v>
      </c>
      <c r="F82" s="33">
        <v>2000</v>
      </c>
    </row>
    <row r="83" spans="1:6" s="2" customFormat="1" ht="13" x14ac:dyDescent="0.3">
      <c r="A83" s="16" t="s">
        <v>86</v>
      </c>
      <c r="B83" s="17">
        <f>571.91</f>
        <v>571.91</v>
      </c>
      <c r="C83" s="22"/>
      <c r="D83" s="17">
        <f t="shared" si="6"/>
        <v>571.91</v>
      </c>
      <c r="E83" s="18" t="str">
        <f t="shared" si="7"/>
        <v/>
      </c>
      <c r="F83" s="19">
        <v>305</v>
      </c>
    </row>
    <row r="84" spans="1:6" s="2" customFormat="1" ht="26" x14ac:dyDescent="0.3">
      <c r="A84" s="16" t="s">
        <v>87</v>
      </c>
      <c r="B84" s="17">
        <f>533</f>
        <v>533</v>
      </c>
      <c r="C84" s="17">
        <f>2500</f>
        <v>2500</v>
      </c>
      <c r="D84" s="17">
        <f t="shared" si="6"/>
        <v>-1967</v>
      </c>
      <c r="E84" s="18">
        <f t="shared" si="7"/>
        <v>0.2132</v>
      </c>
      <c r="F84" s="33">
        <v>1000</v>
      </c>
    </row>
    <row r="85" spans="1:6" s="2" customFormat="1" ht="13" x14ac:dyDescent="0.3">
      <c r="A85" s="16" t="s">
        <v>88</v>
      </c>
      <c r="B85" s="17">
        <f>352.96</f>
        <v>352.96</v>
      </c>
      <c r="C85" s="17">
        <f>500</f>
        <v>500</v>
      </c>
      <c r="D85" s="17">
        <f t="shared" si="6"/>
        <v>-147.04000000000002</v>
      </c>
      <c r="E85" s="18">
        <f t="shared" si="7"/>
        <v>0.70591999999999999</v>
      </c>
      <c r="F85" s="33">
        <v>350</v>
      </c>
    </row>
    <row r="86" spans="1:6" s="2" customFormat="1" ht="13" x14ac:dyDescent="0.3">
      <c r="A86" s="16" t="s">
        <v>89</v>
      </c>
      <c r="B86" s="17">
        <f>4580.84</f>
        <v>4580.84</v>
      </c>
      <c r="C86" s="17">
        <f>5400</f>
        <v>5400</v>
      </c>
      <c r="D86" s="17">
        <f t="shared" si="6"/>
        <v>-819.15999999999985</v>
      </c>
      <c r="E86" s="18">
        <f t="shared" si="7"/>
        <v>0.84830370370370378</v>
      </c>
      <c r="F86" s="19">
        <v>3240</v>
      </c>
    </row>
    <row r="87" spans="1:6" s="2" customFormat="1" ht="13" x14ac:dyDescent="0.3">
      <c r="A87" s="16" t="s">
        <v>90</v>
      </c>
      <c r="B87" s="34">
        <f>((((((B80)+(B81))+(B82))+(B83))+(B84))+(B85))+(B86)</f>
        <v>8502.44</v>
      </c>
      <c r="C87" s="34">
        <f>((((((C80)+(C81))+(C82))+(C83))+(C84))+(C85))+(C86)</f>
        <v>12400</v>
      </c>
      <c r="D87" s="34">
        <f t="shared" si="6"/>
        <v>-3897.5599999999995</v>
      </c>
      <c r="E87" s="35">
        <f t="shared" si="7"/>
        <v>0.68568064516129035</v>
      </c>
      <c r="F87" s="24">
        <f>SUM(F81:F86)</f>
        <v>7895</v>
      </c>
    </row>
    <row r="88" spans="1:6" ht="13" x14ac:dyDescent="0.3">
      <c r="A88" s="7" t="s">
        <v>91</v>
      </c>
      <c r="B88" s="8"/>
      <c r="C88" s="8"/>
      <c r="D88" s="9">
        <f t="shared" si="6"/>
        <v>0</v>
      </c>
      <c r="E88" s="10" t="str">
        <f t="shared" si="7"/>
        <v/>
      </c>
    </row>
    <row r="89" spans="1:6" ht="13" x14ac:dyDescent="0.3">
      <c r="A89" s="7" t="s">
        <v>92</v>
      </c>
      <c r="B89" s="9">
        <f>929.61</f>
        <v>929.61</v>
      </c>
      <c r="C89" s="9">
        <f>4500</f>
        <v>4500</v>
      </c>
      <c r="D89" s="9">
        <f t="shared" si="6"/>
        <v>-3570.39</v>
      </c>
      <c r="E89" s="10">
        <f t="shared" si="7"/>
        <v>0.20658000000000001</v>
      </c>
      <c r="F89" s="1">
        <v>2000</v>
      </c>
    </row>
    <row r="90" spans="1:6" ht="13" x14ac:dyDescent="0.3">
      <c r="A90" s="7" t="s">
        <v>93</v>
      </c>
      <c r="B90" s="9">
        <f>141.48</f>
        <v>141.47999999999999</v>
      </c>
      <c r="C90" s="8"/>
      <c r="D90" s="9">
        <f t="shared" si="6"/>
        <v>141.47999999999999</v>
      </c>
      <c r="E90" s="10" t="str">
        <f t="shared" si="7"/>
        <v/>
      </c>
      <c r="F90" s="1">
        <v>141</v>
      </c>
    </row>
    <row r="91" spans="1:6" ht="13" x14ac:dyDescent="0.3">
      <c r="A91" s="7" t="s">
        <v>94</v>
      </c>
      <c r="B91" s="11">
        <f>((B88)+(B89))+(B90)</f>
        <v>1071.0899999999999</v>
      </c>
      <c r="C91" s="11">
        <f>((C88)+(C89))+(C90)</f>
        <v>4500</v>
      </c>
      <c r="D91" s="11">
        <f t="shared" si="6"/>
        <v>-3428.91</v>
      </c>
      <c r="E91" s="12">
        <f t="shared" si="7"/>
        <v>0.23801999999999998</v>
      </c>
      <c r="F91" s="13">
        <f>SUM(F89:F90)</f>
        <v>2141</v>
      </c>
    </row>
    <row r="92" spans="1:6" ht="13" x14ac:dyDescent="0.3">
      <c r="A92" s="7" t="s">
        <v>95</v>
      </c>
      <c r="B92" s="8"/>
      <c r="C92" s="8"/>
      <c r="D92" s="9">
        <f t="shared" si="6"/>
        <v>0</v>
      </c>
      <c r="E92" s="10" t="str">
        <f t="shared" si="7"/>
        <v/>
      </c>
    </row>
    <row r="93" spans="1:6" ht="13" x14ac:dyDescent="0.3">
      <c r="A93" s="7" t="s">
        <v>96</v>
      </c>
      <c r="B93" s="9">
        <f>75458.34</f>
        <v>75458.34</v>
      </c>
      <c r="C93" s="9">
        <f>100611</f>
        <v>100611</v>
      </c>
      <c r="D93" s="9">
        <f t="shared" si="6"/>
        <v>-25152.660000000003</v>
      </c>
      <c r="E93" s="10">
        <f t="shared" si="7"/>
        <v>0.75000089453439478</v>
      </c>
      <c r="F93" s="1">
        <v>103622</v>
      </c>
    </row>
    <row r="94" spans="1:6" ht="13" x14ac:dyDescent="0.3">
      <c r="A94" s="7" t="s">
        <v>97</v>
      </c>
      <c r="B94" s="8"/>
      <c r="C94" s="9">
        <f>3000</f>
        <v>3000</v>
      </c>
      <c r="D94" s="9">
        <f t="shared" si="6"/>
        <v>-3000</v>
      </c>
      <c r="E94" s="10">
        <f t="shared" si="7"/>
        <v>0</v>
      </c>
      <c r="F94" s="1">
        <v>3000</v>
      </c>
    </row>
    <row r="95" spans="1:6" ht="13" x14ac:dyDescent="0.3">
      <c r="A95" s="7" t="s">
        <v>98</v>
      </c>
      <c r="B95" s="9">
        <f>5749.53</f>
        <v>5749.53</v>
      </c>
      <c r="C95" s="9">
        <f>6147</f>
        <v>6147</v>
      </c>
      <c r="D95" s="9">
        <f t="shared" si="6"/>
        <v>-397.47000000000025</v>
      </c>
      <c r="E95" s="10">
        <f t="shared" si="7"/>
        <v>0.93533918984870668</v>
      </c>
      <c r="F95" s="9">
        <f>6147</f>
        <v>6147</v>
      </c>
    </row>
    <row r="96" spans="1:6" ht="13" x14ac:dyDescent="0.3">
      <c r="A96" s="7" t="s">
        <v>99</v>
      </c>
      <c r="B96" s="9">
        <f>-60.08</f>
        <v>-60.08</v>
      </c>
      <c r="C96" s="9">
        <f>130</f>
        <v>130</v>
      </c>
      <c r="D96" s="9">
        <f t="shared" si="6"/>
        <v>-190.07999999999998</v>
      </c>
      <c r="E96" s="10">
        <f t="shared" si="7"/>
        <v>-0.46215384615384614</v>
      </c>
      <c r="F96" s="1">
        <v>130</v>
      </c>
    </row>
    <row r="97" spans="1:6" ht="13" x14ac:dyDescent="0.3">
      <c r="A97" s="7" t="s">
        <v>100</v>
      </c>
      <c r="B97" s="9">
        <f>111.9</f>
        <v>111.9</v>
      </c>
      <c r="C97" s="9">
        <f>138</f>
        <v>138</v>
      </c>
      <c r="D97" s="9">
        <f t="shared" si="6"/>
        <v>-26.099999999999994</v>
      </c>
      <c r="E97" s="10">
        <f t="shared" si="7"/>
        <v>0.8108695652173914</v>
      </c>
      <c r="F97" s="1">
        <v>138</v>
      </c>
    </row>
    <row r="98" spans="1:6" ht="13" x14ac:dyDescent="0.3">
      <c r="A98" s="7" t="s">
        <v>101</v>
      </c>
      <c r="B98" s="11">
        <f>((B95)+(B96))+(B97)</f>
        <v>5801.3499999999995</v>
      </c>
      <c r="C98" s="11">
        <f>((C95)+(C96))+(C97)</f>
        <v>6415</v>
      </c>
      <c r="D98" s="11">
        <f t="shared" si="6"/>
        <v>-613.65000000000055</v>
      </c>
      <c r="E98" s="12">
        <f t="shared" si="7"/>
        <v>0.90434138737334369</v>
      </c>
      <c r="F98" s="13">
        <f>SUM(F95:F97)</f>
        <v>6415</v>
      </c>
    </row>
    <row r="99" spans="1:6" ht="13" x14ac:dyDescent="0.3">
      <c r="A99" s="7" t="s">
        <v>102</v>
      </c>
      <c r="B99" s="9">
        <f>1673.38</f>
        <v>1673.38</v>
      </c>
      <c r="C99" s="9">
        <f>2112</f>
        <v>2112</v>
      </c>
      <c r="D99" s="9">
        <f t="shared" si="6"/>
        <v>-438.61999999999989</v>
      </c>
      <c r="E99" s="10">
        <f t="shared" si="7"/>
        <v>0.79232007575757579</v>
      </c>
      <c r="F99" s="1">
        <v>2125</v>
      </c>
    </row>
    <row r="100" spans="1:6" ht="13" x14ac:dyDescent="0.3">
      <c r="A100" s="7" t="s">
        <v>103</v>
      </c>
      <c r="B100" s="11">
        <f>((((B92)+(B93))+(B94))+(B98))+(B99)</f>
        <v>82933.070000000007</v>
      </c>
      <c r="C100" s="11">
        <f>((((C92)+(C93))+(C94))+(C98))+(C99)</f>
        <v>112138</v>
      </c>
      <c r="D100" s="11">
        <f t="shared" si="6"/>
        <v>-29204.929999999993</v>
      </c>
      <c r="E100" s="12">
        <f t="shared" si="7"/>
        <v>0.73956259251993084</v>
      </c>
      <c r="F100" s="13">
        <f>SUM(F93+F94+F98+F99)</f>
        <v>115162</v>
      </c>
    </row>
    <row r="101" spans="1:6" ht="13" x14ac:dyDescent="0.3">
      <c r="A101" s="7" t="s">
        <v>104</v>
      </c>
      <c r="B101" s="8"/>
      <c r="C101" s="9">
        <f>0</f>
        <v>0</v>
      </c>
      <c r="D101" s="9">
        <f t="shared" si="6"/>
        <v>0</v>
      </c>
      <c r="E101" s="10" t="str">
        <f t="shared" si="7"/>
        <v/>
      </c>
    </row>
    <row r="102" spans="1:6" ht="13" x14ac:dyDescent="0.3">
      <c r="A102" s="26" t="s">
        <v>105</v>
      </c>
      <c r="B102" s="31">
        <f>3195.39</f>
        <v>3195.39</v>
      </c>
      <c r="C102" s="30"/>
      <c r="D102" s="31">
        <f t="shared" si="6"/>
        <v>3195.39</v>
      </c>
      <c r="E102" s="32" t="str">
        <f t="shared" si="7"/>
        <v/>
      </c>
      <c r="F102" s="27"/>
    </row>
    <row r="103" spans="1:6" ht="13" x14ac:dyDescent="0.3">
      <c r="A103" s="26" t="s">
        <v>106</v>
      </c>
      <c r="B103" s="31">
        <f>90</f>
        <v>90</v>
      </c>
      <c r="C103" s="30"/>
      <c r="D103" s="31">
        <f t="shared" si="6"/>
        <v>90</v>
      </c>
      <c r="E103" s="32" t="str">
        <f t="shared" si="7"/>
        <v/>
      </c>
      <c r="F103" s="27"/>
    </row>
    <row r="104" spans="1:6" ht="13" x14ac:dyDescent="0.3">
      <c r="A104" s="26" t="s">
        <v>107</v>
      </c>
      <c r="B104" s="30"/>
      <c r="C104" s="31">
        <f>0</f>
        <v>0</v>
      </c>
      <c r="D104" s="31">
        <f t="shared" si="6"/>
        <v>0</v>
      </c>
      <c r="E104" s="32" t="str">
        <f t="shared" si="7"/>
        <v/>
      </c>
      <c r="F104" s="27"/>
    </row>
    <row r="105" spans="1:6" ht="13" x14ac:dyDescent="0.3">
      <c r="A105" s="7" t="s">
        <v>108</v>
      </c>
      <c r="B105" s="11">
        <f>((((((((((B57)+(B63))+(B72))+(B79))+(B87))+(B91))+(B100))+(B101))+(B102))+(B103))+(B104)</f>
        <v>263255.72000000003</v>
      </c>
      <c r="C105" s="11">
        <f>((((((((((C57)+(C63))+(C72))+(C79))+(C87))+(C91))+(C100))+(C101))+(C102))+(C103))+(C104)</f>
        <v>351042.94</v>
      </c>
      <c r="D105" s="11">
        <f t="shared" si="6"/>
        <v>-87787.219999999972</v>
      </c>
      <c r="E105" s="12">
        <f t="shared" si="7"/>
        <v>0.74992455338939457</v>
      </c>
      <c r="F105" s="13">
        <f>SUM(F57,F63,F72,F79,F87,F91,F100)</f>
        <v>298939.505</v>
      </c>
    </row>
    <row r="106" spans="1:6" ht="13" x14ac:dyDescent="0.3">
      <c r="A106" s="7" t="s">
        <v>109</v>
      </c>
      <c r="B106" s="11">
        <f>(B44)-(B105)</f>
        <v>46937.859999999986</v>
      </c>
      <c r="C106" s="11">
        <f>(C44)-(C105)</f>
        <v>11500.199999999953</v>
      </c>
      <c r="D106" s="11">
        <f t="shared" si="6"/>
        <v>35437.660000000033</v>
      </c>
      <c r="E106" s="12">
        <f t="shared" si="7"/>
        <v>4.0814820611815597</v>
      </c>
      <c r="F106" s="13">
        <f>SUM(F13,F22,F29,F36,F37,F38)</f>
        <v>318311.94</v>
      </c>
    </row>
    <row r="107" spans="1:6" ht="13" x14ac:dyDescent="0.3">
      <c r="A107" s="7" t="s">
        <v>110</v>
      </c>
      <c r="B107" s="11">
        <f>(B106)+(0)</f>
        <v>46937.859999999986</v>
      </c>
      <c r="C107" s="11">
        <f>(C106)+(0)</f>
        <v>11500.199999999953</v>
      </c>
      <c r="D107" s="11">
        <f t="shared" si="6"/>
        <v>35437.660000000033</v>
      </c>
      <c r="E107" s="12">
        <f t="shared" si="7"/>
        <v>4.0814820611815597</v>
      </c>
      <c r="F107" s="1">
        <f>SUM(F106-F105)</f>
        <v>19372.434999999998</v>
      </c>
    </row>
    <row r="108" spans="1:6" ht="13" x14ac:dyDescent="0.3">
      <c r="A108" s="7"/>
      <c r="B108" s="8"/>
      <c r="C108" s="8"/>
      <c r="D108" s="8"/>
      <c r="E108" s="8"/>
    </row>
    <row r="111" spans="1:6" x14ac:dyDescent="0.25">
      <c r="A111" s="40"/>
      <c r="B111" s="37"/>
      <c r="C111" s="37"/>
      <c r="D111" s="37"/>
      <c r="E111" s="37"/>
    </row>
  </sheetData>
  <mergeCells count="5">
    <mergeCell ref="A1:E1"/>
    <mergeCell ref="A2:E2"/>
    <mergeCell ref="A3:E3"/>
    <mergeCell ref="B4:E4"/>
    <mergeCell ref="A111:E111"/>
  </mergeCells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DC8A7625705E45918AAA37378A33EF" ma:contentTypeVersion="15" ma:contentTypeDescription="Create a new document." ma:contentTypeScope="" ma:versionID="19f1f168651ad50dfd53d2dea8cd8fcb">
  <xsd:schema xmlns:xsd="http://www.w3.org/2001/XMLSchema" xmlns:xs="http://www.w3.org/2001/XMLSchema" xmlns:p="http://schemas.microsoft.com/office/2006/metadata/properties" xmlns:ns3="31625398-9b2f-4d9b-9713-a37acf899ec0" xmlns:ns4="5ecb191c-8767-40e9-b1de-13d6c0031507" targetNamespace="http://schemas.microsoft.com/office/2006/metadata/properties" ma:root="true" ma:fieldsID="24e77c3d8635c282577da0a0a6c75d67" ns3:_="" ns4:_="">
    <xsd:import namespace="31625398-9b2f-4d9b-9713-a37acf899ec0"/>
    <xsd:import namespace="5ecb191c-8767-40e9-b1de-13d6c003150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25398-9b2f-4d9b-9713-a37acf899ec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b191c-8767-40e9-b1de-13d6c003150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625398-9b2f-4d9b-9713-a37acf899ec0" xsi:nil="true"/>
  </documentManagement>
</p:properties>
</file>

<file path=customXml/itemProps1.xml><?xml version="1.0" encoding="utf-8"?>
<ds:datastoreItem xmlns:ds="http://schemas.openxmlformats.org/officeDocument/2006/customXml" ds:itemID="{7474FD60-47DE-4AF9-BF5B-F746625F8B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3A55A-6063-48B7-90D6-6AF6A998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25398-9b2f-4d9b-9713-a37acf899ec0"/>
    <ds:schemaRef ds:uri="5ecb191c-8767-40e9-b1de-13d6c0031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269B28-3055-44D5-AA70-D1C6C7339179}">
  <ds:schemaRefs>
    <ds:schemaRef ds:uri="http://schemas.microsoft.com/office/2006/metadata/properties"/>
    <ds:schemaRef ds:uri="http://schemas.microsoft.com/office/infopath/2007/PartnerControls"/>
    <ds:schemaRef ds:uri="31625398-9b2f-4d9b-9713-a37acf899e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Meghan Elder</cp:lastModifiedBy>
  <cp:revision/>
  <cp:lastPrinted>2024-11-20T15:27:17Z</cp:lastPrinted>
  <dcterms:created xsi:type="dcterms:W3CDTF">2024-10-14T14:33:07Z</dcterms:created>
  <dcterms:modified xsi:type="dcterms:W3CDTF">2024-12-05T20:03:48Z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0x010100DCDC8A7625705E45918AAA37378A33EF</vt:lpwstr>
  </property>
</Properties>
</file>