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llylass/Box/Nardone Consulting Group, Inc./GSCA/Financial/Month End Reports/February '20/"/>
    </mc:Choice>
  </mc:AlternateContent>
  <xr:revisionPtr revIDLastSave="0" documentId="8_{F717A81F-CA08-CE44-A1B8-F4225C64FE7F}" xr6:coauthVersionLast="45" xr6:coauthVersionMax="45" xr10:uidLastSave="{00000000-0000-0000-0000-000000000000}"/>
  <bookViews>
    <workbookView xWindow="0" yWindow="460" windowWidth="38400" windowHeight="19920" xr2:uid="{00000000-000D-0000-FFFF-FFFF00000000}"/>
  </bookViews>
  <sheets>
    <sheet name="Budget vs. Actuals" sheetId="1" r:id="rId1"/>
  </sheets>
  <definedNames>
    <definedName name="_xlnm.Print_Area" localSheetId="0">'Budget vs. Actuals'!$A$1:$E$143</definedName>
    <definedName name="_xlnm.Print_Titles" localSheetId="0">'Budget vs. Actuals'!$1:$6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9" i="1" l="1"/>
  <c r="E138" i="1"/>
  <c r="B138" i="1"/>
  <c r="D138" i="1" s="1"/>
  <c r="E137" i="1"/>
  <c r="C137" i="1"/>
  <c r="B137" i="1"/>
  <c r="D137" i="1" s="1"/>
  <c r="B136" i="1"/>
  <c r="E135" i="1"/>
  <c r="B135" i="1"/>
  <c r="D135" i="1" s="1"/>
  <c r="C134" i="1"/>
  <c r="E134" i="1" s="1"/>
  <c r="C133" i="1"/>
  <c r="E133" i="1" s="1"/>
  <c r="B133" i="1"/>
  <c r="C131" i="1"/>
  <c r="E131" i="1" s="1"/>
  <c r="B131" i="1"/>
  <c r="C130" i="1"/>
  <c r="E130" i="1" s="1"/>
  <c r="B130" i="1"/>
  <c r="D130" i="1" s="1"/>
  <c r="C129" i="1"/>
  <c r="C132" i="1" s="1"/>
  <c r="B129" i="1"/>
  <c r="E128" i="1"/>
  <c r="E126" i="1"/>
  <c r="B126" i="1"/>
  <c r="D126" i="1" s="1"/>
  <c r="C125" i="1"/>
  <c r="E125" i="1" s="1"/>
  <c r="B125" i="1"/>
  <c r="D125" i="1" s="1"/>
  <c r="D124" i="1"/>
  <c r="C124" i="1"/>
  <c r="B124" i="1"/>
  <c r="B127" i="1" s="1"/>
  <c r="C123" i="1"/>
  <c r="E123" i="1" s="1"/>
  <c r="C122" i="1"/>
  <c r="C127" i="1" s="1"/>
  <c r="E127" i="1" s="1"/>
  <c r="E121" i="1"/>
  <c r="C120" i="1"/>
  <c r="D119" i="1"/>
  <c r="C119" i="1"/>
  <c r="E119" i="1" s="1"/>
  <c r="E118" i="1"/>
  <c r="C118" i="1"/>
  <c r="B118" i="1"/>
  <c r="D118" i="1" s="1"/>
  <c r="E117" i="1"/>
  <c r="B115" i="1"/>
  <c r="E114" i="1"/>
  <c r="C114" i="1"/>
  <c r="D114" i="1" s="1"/>
  <c r="C113" i="1"/>
  <c r="E113" i="1" s="1"/>
  <c r="C112" i="1"/>
  <c r="C115" i="1" s="1"/>
  <c r="E111" i="1"/>
  <c r="C110" i="1"/>
  <c r="C116" i="1" s="1"/>
  <c r="E116" i="1" s="1"/>
  <c r="B110" i="1"/>
  <c r="D110" i="1" s="1"/>
  <c r="D109" i="1"/>
  <c r="C109" i="1"/>
  <c r="E109" i="1" s="1"/>
  <c r="B109" i="1"/>
  <c r="B116" i="1" s="1"/>
  <c r="E108" i="1"/>
  <c r="D106" i="1"/>
  <c r="C106" i="1"/>
  <c r="E106" i="1" s="1"/>
  <c r="B106" i="1"/>
  <c r="C105" i="1"/>
  <c r="C107" i="1" s="1"/>
  <c r="B105" i="1"/>
  <c r="E105" i="1" s="1"/>
  <c r="E104" i="1"/>
  <c r="D102" i="1"/>
  <c r="C102" i="1"/>
  <c r="E102" i="1" s="1"/>
  <c r="B102" i="1"/>
  <c r="C101" i="1"/>
  <c r="E101" i="1" s="1"/>
  <c r="C100" i="1"/>
  <c r="C103" i="1" s="1"/>
  <c r="E99" i="1"/>
  <c r="D99" i="1"/>
  <c r="C99" i="1"/>
  <c r="B99" i="1"/>
  <c r="C98" i="1"/>
  <c r="B98" i="1"/>
  <c r="E98" i="1" s="1"/>
  <c r="E97" i="1"/>
  <c r="D97" i="1"/>
  <c r="C97" i="1"/>
  <c r="B97" i="1"/>
  <c r="C96" i="1"/>
  <c r="B96" i="1"/>
  <c r="E96" i="1" s="1"/>
  <c r="E95" i="1"/>
  <c r="D95" i="1"/>
  <c r="C95" i="1"/>
  <c r="E94" i="1"/>
  <c r="C93" i="1"/>
  <c r="E92" i="1"/>
  <c r="C92" i="1"/>
  <c r="D92" i="1" s="1"/>
  <c r="C91" i="1"/>
  <c r="B91" i="1"/>
  <c r="B93" i="1" s="1"/>
  <c r="D93" i="1" s="1"/>
  <c r="E90" i="1"/>
  <c r="D90" i="1"/>
  <c r="D88" i="1"/>
  <c r="C88" i="1"/>
  <c r="E88" i="1" s="1"/>
  <c r="B88" i="1"/>
  <c r="C87" i="1"/>
  <c r="E87" i="1" s="1"/>
  <c r="B87" i="1"/>
  <c r="D87" i="1" s="1"/>
  <c r="D86" i="1"/>
  <c r="C86" i="1"/>
  <c r="E86" i="1" s="1"/>
  <c r="B86" i="1"/>
  <c r="D84" i="1"/>
  <c r="C84" i="1"/>
  <c r="E84" i="1" s="1"/>
  <c r="B84" i="1"/>
  <c r="E83" i="1"/>
  <c r="B83" i="1"/>
  <c r="D83" i="1" s="1"/>
  <c r="C82" i="1"/>
  <c r="C85" i="1" s="1"/>
  <c r="B82" i="1"/>
  <c r="B85" i="1" s="1"/>
  <c r="D85" i="1" s="1"/>
  <c r="E81" i="1"/>
  <c r="C81" i="1"/>
  <c r="B81" i="1"/>
  <c r="D81" i="1" s="1"/>
  <c r="C80" i="1"/>
  <c r="E80" i="1" s="1"/>
  <c r="E78" i="1"/>
  <c r="D78" i="1"/>
  <c r="B78" i="1"/>
  <c r="E77" i="1"/>
  <c r="D77" i="1"/>
  <c r="B77" i="1"/>
  <c r="B79" i="1" s="1"/>
  <c r="C76" i="1"/>
  <c r="C79" i="1" s="1"/>
  <c r="E79" i="1" s="1"/>
  <c r="E74" i="1"/>
  <c r="C74" i="1"/>
  <c r="B74" i="1"/>
  <c r="D74" i="1" s="1"/>
  <c r="C73" i="1"/>
  <c r="E73" i="1" s="1"/>
  <c r="B73" i="1"/>
  <c r="B75" i="1" s="1"/>
  <c r="E72" i="1"/>
  <c r="C72" i="1"/>
  <c r="B72" i="1"/>
  <c r="D72" i="1" s="1"/>
  <c r="C71" i="1"/>
  <c r="E70" i="1"/>
  <c r="D70" i="1"/>
  <c r="C70" i="1"/>
  <c r="B70" i="1"/>
  <c r="C69" i="1"/>
  <c r="B69" i="1"/>
  <c r="E69" i="1" s="1"/>
  <c r="E68" i="1"/>
  <c r="D68" i="1"/>
  <c r="C68" i="1"/>
  <c r="B68" i="1"/>
  <c r="C67" i="1"/>
  <c r="B67" i="1"/>
  <c r="E67" i="1" s="1"/>
  <c r="E66" i="1"/>
  <c r="D66" i="1"/>
  <c r="C66" i="1"/>
  <c r="B66" i="1"/>
  <c r="C65" i="1"/>
  <c r="B65" i="1"/>
  <c r="E65" i="1" s="1"/>
  <c r="E64" i="1"/>
  <c r="C62" i="1"/>
  <c r="D62" i="1" s="1"/>
  <c r="B62" i="1"/>
  <c r="C61" i="1"/>
  <c r="E61" i="1" s="1"/>
  <c r="C60" i="1"/>
  <c r="E60" i="1" s="1"/>
  <c r="B60" i="1"/>
  <c r="D60" i="1" s="1"/>
  <c r="E59" i="1"/>
  <c r="C59" i="1"/>
  <c r="B59" i="1"/>
  <c r="D59" i="1" s="1"/>
  <c r="C58" i="1"/>
  <c r="E58" i="1" s="1"/>
  <c r="B58" i="1"/>
  <c r="D58" i="1" s="1"/>
  <c r="E57" i="1"/>
  <c r="C57" i="1"/>
  <c r="B57" i="1"/>
  <c r="D57" i="1" s="1"/>
  <c r="C56" i="1"/>
  <c r="E56" i="1" s="1"/>
  <c r="B56" i="1"/>
  <c r="D56" i="1" s="1"/>
  <c r="E55" i="1"/>
  <c r="C55" i="1"/>
  <c r="B55" i="1"/>
  <c r="D55" i="1" s="1"/>
  <c r="C54" i="1"/>
  <c r="C63" i="1" s="1"/>
  <c r="B54" i="1"/>
  <c r="B63" i="1" s="1"/>
  <c r="E53" i="1"/>
  <c r="C53" i="1"/>
  <c r="B53" i="1"/>
  <c r="D53" i="1" s="1"/>
  <c r="E52" i="1"/>
  <c r="E48" i="1"/>
  <c r="D48" i="1"/>
  <c r="C48" i="1"/>
  <c r="B48" i="1"/>
  <c r="E46" i="1"/>
  <c r="D46" i="1"/>
  <c r="C46" i="1"/>
  <c r="B46" i="1"/>
  <c r="C45" i="1"/>
  <c r="E45" i="1" s="1"/>
  <c r="B45" i="1"/>
  <c r="B47" i="1" s="1"/>
  <c r="E44" i="1"/>
  <c r="C42" i="1"/>
  <c r="E42" i="1" s="1"/>
  <c r="B42" i="1"/>
  <c r="D42" i="1" s="1"/>
  <c r="E41" i="1"/>
  <c r="C41" i="1"/>
  <c r="C43" i="1" s="1"/>
  <c r="B41" i="1"/>
  <c r="D41" i="1" s="1"/>
  <c r="E40" i="1"/>
  <c r="E37" i="1"/>
  <c r="D37" i="1"/>
  <c r="C37" i="1"/>
  <c r="C38" i="1" s="1"/>
  <c r="B37" i="1"/>
  <c r="B38" i="1" s="1"/>
  <c r="D38" i="1" s="1"/>
  <c r="E36" i="1"/>
  <c r="B35" i="1"/>
  <c r="E34" i="1"/>
  <c r="C34" i="1"/>
  <c r="B34" i="1"/>
  <c r="D34" i="1" s="1"/>
  <c r="E33" i="1"/>
  <c r="B33" i="1"/>
  <c r="D33" i="1" s="1"/>
  <c r="E32" i="1"/>
  <c r="D32" i="1"/>
  <c r="C32" i="1"/>
  <c r="B32" i="1"/>
  <c r="E31" i="1"/>
  <c r="D31" i="1"/>
  <c r="B31" i="1"/>
  <c r="E30" i="1"/>
  <c r="D30" i="1"/>
  <c r="B30" i="1"/>
  <c r="C29" i="1"/>
  <c r="E29" i="1" s="1"/>
  <c r="B29" i="1"/>
  <c r="D29" i="1" s="1"/>
  <c r="C28" i="1"/>
  <c r="D28" i="1" s="1"/>
  <c r="B28" i="1"/>
  <c r="E27" i="1"/>
  <c r="E25" i="1"/>
  <c r="D25" i="1"/>
  <c r="C25" i="1"/>
  <c r="B25" i="1"/>
  <c r="E23" i="1"/>
  <c r="D23" i="1"/>
  <c r="C23" i="1"/>
  <c r="B23" i="1"/>
  <c r="C22" i="1"/>
  <c r="B22" i="1"/>
  <c r="E22" i="1" s="1"/>
  <c r="E21" i="1"/>
  <c r="D21" i="1"/>
  <c r="C21" i="1"/>
  <c r="C24" i="1" s="1"/>
  <c r="B21" i="1"/>
  <c r="E20" i="1"/>
  <c r="C18" i="1"/>
  <c r="E18" i="1" s="1"/>
  <c r="B18" i="1"/>
  <c r="D18" i="1" s="1"/>
  <c r="C17" i="1"/>
  <c r="C19" i="1" s="1"/>
  <c r="B17" i="1"/>
  <c r="B19" i="1" s="1"/>
  <c r="D19" i="1" s="1"/>
  <c r="C16" i="1"/>
  <c r="E16" i="1" s="1"/>
  <c r="B16" i="1"/>
  <c r="D16" i="1" s="1"/>
  <c r="E15" i="1"/>
  <c r="C13" i="1"/>
  <c r="B13" i="1"/>
  <c r="E13" i="1" s="1"/>
  <c r="E12" i="1"/>
  <c r="D12" i="1"/>
  <c r="C12" i="1"/>
  <c r="C14" i="1" s="1"/>
  <c r="B12" i="1"/>
  <c r="C11" i="1"/>
  <c r="B11" i="1"/>
  <c r="D11" i="1" s="1"/>
  <c r="E10" i="1"/>
  <c r="E9" i="1"/>
  <c r="E8" i="1"/>
  <c r="E38" i="1" l="1"/>
  <c r="E24" i="1"/>
  <c r="D35" i="1"/>
  <c r="E19" i="1"/>
  <c r="E63" i="1"/>
  <c r="E93" i="1"/>
  <c r="D127" i="1"/>
  <c r="D79" i="1"/>
  <c r="E85" i="1"/>
  <c r="E14" i="1"/>
  <c r="C26" i="1"/>
  <c r="D63" i="1"/>
  <c r="E115" i="1"/>
  <c r="D115" i="1"/>
  <c r="D47" i="1"/>
  <c r="D116" i="1"/>
  <c r="E43" i="1"/>
  <c r="E103" i="1"/>
  <c r="E139" i="1"/>
  <c r="B107" i="1"/>
  <c r="D107" i="1" s="1"/>
  <c r="C35" i="1"/>
  <c r="E35" i="1" s="1"/>
  <c r="C75" i="1"/>
  <c r="E75" i="1" s="1"/>
  <c r="E17" i="1"/>
  <c r="E28" i="1"/>
  <c r="D54" i="1"/>
  <c r="E62" i="1"/>
  <c r="D71" i="1"/>
  <c r="D73" i="1"/>
  <c r="D80" i="1"/>
  <c r="D82" i="1"/>
  <c r="D100" i="1"/>
  <c r="D112" i="1"/>
  <c r="D122" i="1"/>
  <c r="E124" i="1"/>
  <c r="D129" i="1"/>
  <c r="D131" i="1"/>
  <c r="D133" i="1"/>
  <c r="E54" i="1"/>
  <c r="D65" i="1"/>
  <c r="D67" i="1"/>
  <c r="D69" i="1"/>
  <c r="E71" i="1"/>
  <c r="E82" i="1"/>
  <c r="B89" i="1"/>
  <c r="D91" i="1"/>
  <c r="D96" i="1"/>
  <c r="D98" i="1"/>
  <c r="E100" i="1"/>
  <c r="B103" i="1"/>
  <c r="D103" i="1" s="1"/>
  <c r="D105" i="1"/>
  <c r="E112" i="1"/>
  <c r="B120" i="1"/>
  <c r="D120" i="1" s="1"/>
  <c r="E122" i="1"/>
  <c r="E129" i="1"/>
  <c r="C136" i="1"/>
  <c r="B24" i="1"/>
  <c r="D24" i="1" s="1"/>
  <c r="D13" i="1"/>
  <c r="D22" i="1"/>
  <c r="E11" i="1"/>
  <c r="D45" i="1"/>
  <c r="E91" i="1"/>
  <c r="B132" i="1"/>
  <c r="D132" i="1" s="1"/>
  <c r="D17" i="1"/>
  <c r="C47" i="1"/>
  <c r="E47" i="1" s="1"/>
  <c r="B14" i="1"/>
  <c r="D61" i="1"/>
  <c r="D76" i="1"/>
  <c r="D101" i="1"/>
  <c r="D113" i="1"/>
  <c r="D123" i="1"/>
  <c r="D134" i="1"/>
  <c r="B139" i="1"/>
  <c r="D139" i="1" s="1"/>
  <c r="B43" i="1"/>
  <c r="D43" i="1" s="1"/>
  <c r="E76" i="1"/>
  <c r="E110" i="1"/>
  <c r="E136" i="1" l="1"/>
  <c r="D136" i="1"/>
  <c r="C39" i="1"/>
  <c r="C140" i="1"/>
  <c r="E140" i="1" s="1"/>
  <c r="D89" i="1"/>
  <c r="D14" i="1"/>
  <c r="B26" i="1"/>
  <c r="E132" i="1"/>
  <c r="C89" i="1"/>
  <c r="B140" i="1"/>
  <c r="D75" i="1"/>
  <c r="E107" i="1"/>
  <c r="E120" i="1"/>
  <c r="B39" i="1" l="1"/>
  <c r="D26" i="1"/>
  <c r="D140" i="1"/>
  <c r="B141" i="1"/>
  <c r="D141" i="1" s="1"/>
  <c r="E26" i="1"/>
  <c r="E39" i="1"/>
  <c r="C49" i="1"/>
  <c r="E89" i="1"/>
  <c r="C141" i="1"/>
  <c r="C50" i="1" l="1"/>
  <c r="E141" i="1"/>
  <c r="D39" i="1"/>
  <c r="B49" i="1"/>
  <c r="E49" i="1" s="1"/>
  <c r="B50" i="1" l="1"/>
  <c r="E50" i="1" s="1"/>
  <c r="D49" i="1"/>
  <c r="C142" i="1"/>
  <c r="C143" i="1" l="1"/>
  <c r="D50" i="1"/>
  <c r="B142" i="1"/>
  <c r="B143" i="1" l="1"/>
  <c r="D143" i="1" s="1"/>
  <c r="D142" i="1"/>
  <c r="E143" i="1"/>
  <c r="E142" i="1"/>
</calcChain>
</file>

<file path=xl/sharedStrings.xml><?xml version="1.0" encoding="utf-8"?>
<sst xmlns="http://schemas.openxmlformats.org/spreadsheetml/2006/main" count="146" uniqueCount="146">
  <si>
    <t>Total</t>
  </si>
  <si>
    <t>Actual</t>
  </si>
  <si>
    <t>Budget</t>
  </si>
  <si>
    <t>over Budget</t>
  </si>
  <si>
    <t>% of Budget</t>
  </si>
  <si>
    <t>Income</t>
  </si>
  <si>
    <t xml:space="preserve">   4000 Annual Conference</t>
  </si>
  <si>
    <t xml:space="preserve">      4100 Conference Registration</t>
  </si>
  <si>
    <t xml:space="preserve">         4110 Non-Member</t>
  </si>
  <si>
    <t xml:space="preserve">            4111 Early Bird</t>
  </si>
  <si>
    <t xml:space="preserve">            4112 Advanced</t>
  </si>
  <si>
    <t xml:space="preserve">            4113 On-site</t>
  </si>
  <si>
    <t xml:space="preserve">         Total 4110 Non-Member</t>
  </si>
  <si>
    <t xml:space="preserve">         4120 Professional &amp; Affiliate</t>
  </si>
  <si>
    <t xml:space="preserve">            4121 Early Bird</t>
  </si>
  <si>
    <t xml:space="preserve">            4122 Advanced</t>
  </si>
  <si>
    <t xml:space="preserve">            4123 On-Site</t>
  </si>
  <si>
    <t xml:space="preserve">         Total 4120 Professional &amp; Affiliate</t>
  </si>
  <si>
    <t xml:space="preserve">         4130 Student &amp; Retired Registration</t>
  </si>
  <si>
    <t xml:space="preserve">            4131 Early Bird</t>
  </si>
  <si>
    <t xml:space="preserve">            4132 Advanced</t>
  </si>
  <si>
    <t xml:space="preserve">            4133 On-Site</t>
  </si>
  <si>
    <t xml:space="preserve">         Total 4130 Student &amp; Retired Registration</t>
  </si>
  <si>
    <t xml:space="preserve">         4160 Special Registration Categories</t>
  </si>
  <si>
    <t xml:space="preserve">      Total 4100 Conference Registration</t>
  </si>
  <si>
    <t xml:space="preserve">      4140 Other Conference Income</t>
  </si>
  <si>
    <t xml:space="preserve">         4141 Exhibitor Income</t>
  </si>
  <si>
    <t xml:space="preserve">         4143 Sponsors</t>
  </si>
  <si>
    <t xml:space="preserve">         4145 Promotions</t>
  </si>
  <si>
    <t xml:space="preserve">         4146 Service Project</t>
  </si>
  <si>
    <t xml:space="preserve">         4147 Program Ads</t>
  </si>
  <si>
    <t xml:space="preserve">         4148 Other Income</t>
  </si>
  <si>
    <t xml:space="preserve">         4149 Conference Grants</t>
  </si>
  <si>
    <t xml:space="preserve">      Total 4140 Other Conference Income</t>
  </si>
  <si>
    <t xml:space="preserve">      4150 Pre-Workshop Registration Fees</t>
  </si>
  <si>
    <t xml:space="preserve">         4151 Half-Day</t>
  </si>
  <si>
    <t xml:space="preserve">      Total 4150 Pre-Workshop Registration Fees</t>
  </si>
  <si>
    <t xml:space="preserve">   Total 4000 Annual Conference</t>
  </si>
  <si>
    <t xml:space="preserve">   4200 Association Income</t>
  </si>
  <si>
    <t xml:space="preserve">      4203 Scholarship Contributions</t>
  </si>
  <si>
    <t xml:space="preserve">      4206 E-Newsletter/Website Royalties</t>
  </si>
  <si>
    <t xml:space="preserve">   Total 4200 Association Income</t>
  </si>
  <si>
    <t xml:space="preserve">   4400 Membership Dues</t>
  </si>
  <si>
    <t xml:space="preserve">      4401 Professional/Affiliate Members</t>
  </si>
  <si>
    <t xml:space="preserve">      4402 Student/Retired Members</t>
  </si>
  <si>
    <t xml:space="preserve">   Total 4400 Membership Dues</t>
  </si>
  <si>
    <t xml:space="preserve">   4900 Interest Income</t>
  </si>
  <si>
    <t>Total Income</t>
  </si>
  <si>
    <t>Gross Profit</t>
  </si>
  <si>
    <t>Expenses</t>
  </si>
  <si>
    <t xml:space="preserve">   5000 Administrative</t>
  </si>
  <si>
    <t xml:space="preserve">      5001 Accountant- Professional Fees</t>
  </si>
  <si>
    <t xml:space="preserve">      5002 Assn Mgmt Travel &amp; Exp</t>
  </si>
  <si>
    <t xml:space="preserve">      5003 Association Managment Fees</t>
  </si>
  <si>
    <t xml:space="preserve">      5004 Bank Charges</t>
  </si>
  <si>
    <t xml:space="preserve">      5007 Insurance</t>
  </si>
  <si>
    <t xml:space="preserve">      5008 Merchant Services</t>
  </si>
  <si>
    <t xml:space="preserve">      5009 Office Expenses</t>
  </si>
  <si>
    <t xml:space="preserve">      5010 Website</t>
  </si>
  <si>
    <t xml:space="preserve">      5012 Legal -Professional Fees</t>
  </si>
  <si>
    <t xml:space="preserve">      5013 Taxes</t>
  </si>
  <si>
    <t xml:space="preserve">   Total 5000 Administrative</t>
  </si>
  <si>
    <t xml:space="preserve">   5100 Annual Conference Exp</t>
  </si>
  <si>
    <t xml:space="preserve">      5101 Conference Committee Current Yr</t>
  </si>
  <si>
    <t xml:space="preserve">      5102 Conference Committee Next Yr</t>
  </si>
  <si>
    <t xml:space="preserve">      5104 Exhibits</t>
  </si>
  <si>
    <t xml:space="preserve">      5105 Facilities, Equipment Rental</t>
  </si>
  <si>
    <t xml:space="preserve">      5106 Food and Beverage</t>
  </si>
  <si>
    <t xml:space="preserve">      5108 Printing</t>
  </si>
  <si>
    <t xml:space="preserve">      5109 Prof Dev Processing</t>
  </si>
  <si>
    <t xml:space="preserve">      5110 Promotions</t>
  </si>
  <si>
    <t xml:space="preserve">      5111 Registration</t>
  </si>
  <si>
    <t xml:space="preserve">         5119 Staff Travel</t>
  </si>
  <si>
    <t xml:space="preserve">      Total 5111 Registration</t>
  </si>
  <si>
    <t xml:space="preserve">      5113 Speakers' Expenses</t>
  </si>
  <si>
    <t xml:space="preserve">         5112 Speaker Fees</t>
  </si>
  <si>
    <t xml:space="preserve">         5115 Speaker Lodging</t>
  </si>
  <si>
    <t xml:space="preserve">      Total 5113 Speakers' Expenses</t>
  </si>
  <si>
    <t xml:space="preserve">      5117 Conf Sponsorship Commission</t>
  </si>
  <si>
    <t xml:space="preserve">      5118 Mobile App</t>
  </si>
  <si>
    <t xml:space="preserve">      5120 General</t>
  </si>
  <si>
    <t xml:space="preserve">         5107 Decor, Supplies, etc.</t>
  </si>
  <si>
    <t xml:space="preserve">         5121 Gratuities</t>
  </si>
  <si>
    <t xml:space="preserve">      Total 5120 General</t>
  </si>
  <si>
    <t xml:space="preserve">      5125 Conference Proposal System</t>
  </si>
  <si>
    <t xml:space="preserve">      5130 Conf Related Merchant Services</t>
  </si>
  <si>
    <t xml:space="preserve">      5135 Conference Grants</t>
  </si>
  <si>
    <t xml:space="preserve">   Total 5100 Annual Conference Exp</t>
  </si>
  <si>
    <t xml:space="preserve">   5200 Governance</t>
  </si>
  <si>
    <t xml:space="preserve">      5201 Executive Board Expense</t>
  </si>
  <si>
    <t xml:space="preserve">      5203 Nominations and Elections</t>
  </si>
  <si>
    <t xml:space="preserve">   Total 5200 Governance</t>
  </si>
  <si>
    <t xml:space="preserve">   5300 LDI</t>
  </si>
  <si>
    <t xml:space="preserve">      5304 Facilities &amp; Equipment Rental</t>
  </si>
  <si>
    <t xml:space="preserve">      5305 Food (Catering &amp; Snacks)</t>
  </si>
  <si>
    <t xml:space="preserve">      5306 Lodging</t>
  </si>
  <si>
    <t xml:space="preserve">      5307 Mileage Reimbursements</t>
  </si>
  <si>
    <t xml:space="preserve">      5308 Misc. (decor, Supplies, Photo)</t>
  </si>
  <si>
    <t xml:space="preserve">      5309 Printing</t>
  </si>
  <si>
    <t xml:space="preserve">      5310 Tshirt &amp; Favors &amp; Gifts</t>
  </si>
  <si>
    <t xml:space="preserve">      5312 Speaker</t>
  </si>
  <si>
    <t xml:space="preserve">   Total 5300 LDI</t>
  </si>
  <si>
    <t xml:space="preserve">   5400 Officer Expenses</t>
  </si>
  <si>
    <t xml:space="preserve">      5401 President</t>
  </si>
  <si>
    <t xml:space="preserve">      5402 President-Elect</t>
  </si>
  <si>
    <t xml:space="preserve">   Total 5400 Officer Expenses</t>
  </si>
  <si>
    <t xml:space="preserve">   5500 Other Expenses</t>
  </si>
  <si>
    <t xml:space="preserve">      5502 ASCA State Leaders Meeting</t>
  </si>
  <si>
    <t xml:space="preserve">      5505 Professional Issues</t>
  </si>
  <si>
    <t xml:space="preserve">      5506 Scholarships</t>
  </si>
  <si>
    <t xml:space="preserve">         5507 College (2) Emeliza Swain-COTY</t>
  </si>
  <si>
    <t xml:space="preserve">         5508 College (2) GSCA Scholar-Member</t>
  </si>
  <si>
    <t xml:space="preserve">         5509 College - PROBE</t>
  </si>
  <si>
    <t xml:space="preserve">      Total 5506 Scholarships</t>
  </si>
  <si>
    <t xml:space="preserve">   Total 5500 Other Expenses</t>
  </si>
  <si>
    <t xml:space="preserve">   5700 Publications</t>
  </si>
  <si>
    <t xml:space="preserve">      5710 BEACON</t>
  </si>
  <si>
    <t xml:space="preserve">      5720 Journal</t>
  </si>
  <si>
    <t xml:space="preserve">   Total 5700 Publications</t>
  </si>
  <si>
    <t xml:space="preserve">   5900 Membership</t>
  </si>
  <si>
    <t xml:space="preserve">      5909 Graduate Student Liaison</t>
  </si>
  <si>
    <t xml:space="preserve">      5915 Membership</t>
  </si>
  <si>
    <t xml:space="preserve">      5919 Photography</t>
  </si>
  <si>
    <t xml:space="preserve">      5924 Professional Recognition</t>
  </si>
  <si>
    <t xml:space="preserve">      5929 Marketing</t>
  </si>
  <si>
    <t xml:space="preserve">   Total 5900 Membership</t>
  </si>
  <si>
    <t xml:space="preserve">   5908 Advocacy</t>
  </si>
  <si>
    <t xml:space="preserve">      59081 Advocacy</t>
  </si>
  <si>
    <t xml:space="preserve">      59082 Presentations-Prof Conferences</t>
  </si>
  <si>
    <t xml:space="preserve">      59083 Legislative Lobbying Fees</t>
  </si>
  <si>
    <t xml:space="preserve">   Total 5908 Advocacy</t>
  </si>
  <si>
    <t xml:space="preserve">   5923 Professional Development</t>
  </si>
  <si>
    <t xml:space="preserve">      5800 Region Expenses</t>
  </si>
  <si>
    <t xml:space="preserve">         5806 Region 6 Chair</t>
  </si>
  <si>
    <t xml:space="preserve">      Total 5800 Region Expenses</t>
  </si>
  <si>
    <t xml:space="preserve">      5931 Trainings</t>
  </si>
  <si>
    <t xml:space="preserve">         5932 Trainer - Honorarium</t>
  </si>
  <si>
    <t xml:space="preserve">      Total 5931 Trainings</t>
  </si>
  <si>
    <t xml:space="preserve">   Total 5923 Professional Development</t>
  </si>
  <si>
    <t>Total Expenses</t>
  </si>
  <si>
    <t>Net Operating Income</t>
  </si>
  <si>
    <t>Net Income</t>
  </si>
  <si>
    <t>Tuesday, Mar 10, 2020 04:41:58 AM GMT-7 - Accrual Basis</t>
  </si>
  <si>
    <t>Georgia School Counselor Association</t>
  </si>
  <si>
    <t xml:space="preserve">Budget vs. Actuals: FY_2019-FY_2020 - FY20 P&amp;L </t>
  </si>
  <si>
    <t>July 2019 -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</si>
</sst>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10" fontId="2" fillId="0" borderId="1" xfId="0" applyNumberFormat="1" applyFont="1" applyBorder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7"/>
  <sheetViews>
    <sheetView tabSelected="1" topLeftCell="A138" zoomScale="160" zoomScaleNormal="160" workbookViewId="0">
      <selection sqref="A1:E143"/>
    </sheetView>
  </sheetViews>
  <sheetFormatPr baseColWidth="10" defaultColWidth="8.83203125" defaultRowHeight="15" x14ac:dyDescent="0.2"/>
  <cols>
    <col min="1" max="1" width="31.5" bestFit="1" customWidth="1"/>
    <col min="2" max="2" width="16.33203125" customWidth="1"/>
    <col min="3" max="3" width="13.1640625" customWidth="1"/>
    <col min="4" max="4" width="12.83203125" customWidth="1"/>
    <col min="5" max="5" width="10.5" customWidth="1"/>
  </cols>
  <sheetData>
    <row r="1" spans="1:5" ht="18" x14ac:dyDescent="0.2">
      <c r="A1" s="15" t="s">
        <v>143</v>
      </c>
      <c r="B1" s="14"/>
      <c r="C1" s="14"/>
      <c r="D1" s="14"/>
      <c r="E1" s="14"/>
    </row>
    <row r="2" spans="1:5" ht="18" x14ac:dyDescent="0.2">
      <c r="A2" s="15" t="s">
        <v>144</v>
      </c>
      <c r="B2" s="14"/>
      <c r="C2" s="14"/>
      <c r="D2" s="14"/>
      <c r="E2" s="14"/>
    </row>
    <row r="3" spans="1:5" x14ac:dyDescent="0.2">
      <c r="A3" s="16" t="s">
        <v>145</v>
      </c>
      <c r="B3" s="14"/>
      <c r="C3" s="14"/>
      <c r="D3" s="14"/>
      <c r="E3" s="14"/>
    </row>
    <row r="5" spans="1:5" x14ac:dyDescent="0.2">
      <c r="A5" s="1"/>
      <c r="B5" s="11" t="s">
        <v>0</v>
      </c>
      <c r="C5" s="12"/>
      <c r="D5" s="12"/>
      <c r="E5" s="12"/>
    </row>
    <row r="6" spans="1:5" x14ac:dyDescent="0.2">
      <c r="A6" s="1"/>
      <c r="B6" s="10" t="s">
        <v>1</v>
      </c>
      <c r="C6" s="10" t="s">
        <v>2</v>
      </c>
      <c r="D6" s="10" t="s">
        <v>3</v>
      </c>
      <c r="E6" s="10" t="s">
        <v>4</v>
      </c>
    </row>
    <row r="7" spans="1:5" x14ac:dyDescent="0.2">
      <c r="A7" s="2" t="s">
        <v>5</v>
      </c>
      <c r="B7" s="3"/>
      <c r="C7" s="3"/>
      <c r="D7" s="3"/>
      <c r="E7" s="3"/>
    </row>
    <row r="8" spans="1:5" x14ac:dyDescent="0.2">
      <c r="A8" s="2" t="s">
        <v>6</v>
      </c>
      <c r="B8" s="3"/>
      <c r="C8" s="3"/>
      <c r="D8" s="4"/>
      <c r="E8" s="5" t="str">
        <f t="shared" ref="E8:E50" si="0">IF(C8=0,"",(B8)/(C8))</f>
        <v/>
      </c>
    </row>
    <row r="9" spans="1:5" x14ac:dyDescent="0.2">
      <c r="A9" s="2" t="s">
        <v>7</v>
      </c>
      <c r="B9" s="3"/>
      <c r="C9" s="3"/>
      <c r="D9" s="4"/>
      <c r="E9" s="5" t="str">
        <f t="shared" si="0"/>
        <v/>
      </c>
    </row>
    <row r="10" spans="1:5" x14ac:dyDescent="0.2">
      <c r="A10" s="2" t="s">
        <v>8</v>
      </c>
      <c r="B10" s="3"/>
      <c r="C10" s="3"/>
      <c r="D10" s="4"/>
      <c r="E10" s="5" t="str">
        <f t="shared" si="0"/>
        <v/>
      </c>
    </row>
    <row r="11" spans="1:5" x14ac:dyDescent="0.2">
      <c r="A11" s="2" t="s">
        <v>9</v>
      </c>
      <c r="B11" s="4">
        <f>26323.5</f>
        <v>26323.5</v>
      </c>
      <c r="C11" s="4">
        <f>15925</f>
        <v>15925</v>
      </c>
      <c r="D11" s="4">
        <f t="shared" ref="D11:D50" si="1">(B11)-(C11)</f>
        <v>10398.5</v>
      </c>
      <c r="E11" s="5">
        <f t="shared" si="0"/>
        <v>1.652967032967033</v>
      </c>
    </row>
    <row r="12" spans="1:5" x14ac:dyDescent="0.2">
      <c r="A12" s="2" t="s">
        <v>10</v>
      </c>
      <c r="B12" s="4">
        <f>3510</f>
        <v>3510</v>
      </c>
      <c r="C12" s="4">
        <f>4050</f>
        <v>4050</v>
      </c>
      <c r="D12" s="4">
        <f t="shared" si="1"/>
        <v>-540</v>
      </c>
      <c r="E12" s="5">
        <f t="shared" si="0"/>
        <v>0.8666666666666667</v>
      </c>
    </row>
    <row r="13" spans="1:5" x14ac:dyDescent="0.2">
      <c r="A13" s="2" t="s">
        <v>11</v>
      </c>
      <c r="B13" s="4">
        <f>2880</f>
        <v>2880</v>
      </c>
      <c r="C13" s="4">
        <f>1600</f>
        <v>1600</v>
      </c>
      <c r="D13" s="4">
        <f t="shared" si="1"/>
        <v>1280</v>
      </c>
      <c r="E13" s="5">
        <f t="shared" si="0"/>
        <v>1.8</v>
      </c>
    </row>
    <row r="14" spans="1:5" x14ac:dyDescent="0.2">
      <c r="A14" s="2" t="s">
        <v>12</v>
      </c>
      <c r="B14" s="6">
        <f>(((B10)+(B11))+(B12))+(B13)</f>
        <v>32713.5</v>
      </c>
      <c r="C14" s="6">
        <f>(((C10)+(C11))+(C12))+(C13)</f>
        <v>21575</v>
      </c>
      <c r="D14" s="6">
        <f t="shared" si="1"/>
        <v>11138.5</v>
      </c>
      <c r="E14" s="7">
        <f t="shared" si="0"/>
        <v>1.5162688296639628</v>
      </c>
    </row>
    <row r="15" spans="1:5" x14ac:dyDescent="0.2">
      <c r="A15" s="2" t="s">
        <v>13</v>
      </c>
      <c r="B15" s="3"/>
      <c r="C15" s="3"/>
      <c r="D15" s="4"/>
      <c r="E15" s="5" t="str">
        <f t="shared" si="0"/>
        <v/>
      </c>
    </row>
    <row r="16" spans="1:5" x14ac:dyDescent="0.2">
      <c r="A16" s="2" t="s">
        <v>14</v>
      </c>
      <c r="B16" s="4">
        <f>116660</f>
        <v>116660</v>
      </c>
      <c r="C16" s="4">
        <f>107100</f>
        <v>107100</v>
      </c>
      <c r="D16" s="4">
        <f t="shared" si="1"/>
        <v>9560</v>
      </c>
      <c r="E16" s="5">
        <f t="shared" si="0"/>
        <v>1.0892623716153127</v>
      </c>
    </row>
    <row r="17" spans="1:5" x14ac:dyDescent="0.2">
      <c r="A17" s="2" t="s">
        <v>15</v>
      </c>
      <c r="B17" s="4">
        <f>8891.25</f>
        <v>8891.25</v>
      </c>
      <c r="C17" s="4">
        <f>21525</f>
        <v>21525</v>
      </c>
      <c r="D17" s="4">
        <f t="shared" si="1"/>
        <v>-12633.75</v>
      </c>
      <c r="E17" s="5">
        <f t="shared" si="0"/>
        <v>0.41306620209059236</v>
      </c>
    </row>
    <row r="18" spans="1:5" x14ac:dyDescent="0.2">
      <c r="A18" s="2" t="s">
        <v>16</v>
      </c>
      <c r="B18" s="4">
        <f>5610</f>
        <v>5610</v>
      </c>
      <c r="C18" s="4">
        <f>5100</f>
        <v>5100</v>
      </c>
      <c r="D18" s="4">
        <f t="shared" si="1"/>
        <v>510</v>
      </c>
      <c r="E18" s="5">
        <f t="shared" si="0"/>
        <v>1.1000000000000001</v>
      </c>
    </row>
    <row r="19" spans="1:5" x14ac:dyDescent="0.2">
      <c r="A19" s="2" t="s">
        <v>17</v>
      </c>
      <c r="B19" s="6">
        <f>(((B15)+(B16))+(B17))+(B18)</f>
        <v>131161.25</v>
      </c>
      <c r="C19" s="6">
        <f>(((C15)+(C16))+(C17))+(C18)</f>
        <v>133725</v>
      </c>
      <c r="D19" s="6">
        <f t="shared" si="1"/>
        <v>-2563.75</v>
      </c>
      <c r="E19" s="7">
        <f t="shared" si="0"/>
        <v>0.98082819218545525</v>
      </c>
    </row>
    <row r="20" spans="1:5" x14ac:dyDescent="0.2">
      <c r="A20" s="2" t="s">
        <v>18</v>
      </c>
      <c r="B20" s="3"/>
      <c r="C20" s="3"/>
      <c r="D20" s="4"/>
      <c r="E20" s="5" t="str">
        <f t="shared" si="0"/>
        <v/>
      </c>
    </row>
    <row r="21" spans="1:5" x14ac:dyDescent="0.2">
      <c r="A21" s="2" t="s">
        <v>19</v>
      </c>
      <c r="B21" s="4">
        <f>11140</f>
        <v>11140</v>
      </c>
      <c r="C21" s="4">
        <f>10800</f>
        <v>10800</v>
      </c>
      <c r="D21" s="4">
        <f t="shared" si="1"/>
        <v>340</v>
      </c>
      <c r="E21" s="5">
        <f t="shared" si="0"/>
        <v>1.0314814814814814</v>
      </c>
    </row>
    <row r="22" spans="1:5" x14ac:dyDescent="0.2">
      <c r="A22" s="2" t="s">
        <v>20</v>
      </c>
      <c r="B22" s="4">
        <f>1035</f>
        <v>1035</v>
      </c>
      <c r="C22" s="4">
        <f>2300</f>
        <v>2300</v>
      </c>
      <c r="D22" s="4">
        <f t="shared" si="1"/>
        <v>-1265</v>
      </c>
      <c r="E22" s="5">
        <f t="shared" si="0"/>
        <v>0.45</v>
      </c>
    </row>
    <row r="23" spans="1:5" x14ac:dyDescent="0.2">
      <c r="A23" s="2" t="s">
        <v>21</v>
      </c>
      <c r="B23" s="4">
        <f>825</f>
        <v>825</v>
      </c>
      <c r="C23" s="4">
        <f>825</f>
        <v>825</v>
      </c>
      <c r="D23" s="4">
        <f t="shared" si="1"/>
        <v>0</v>
      </c>
      <c r="E23" s="5">
        <f t="shared" si="0"/>
        <v>1</v>
      </c>
    </row>
    <row r="24" spans="1:5" x14ac:dyDescent="0.2">
      <c r="A24" s="2" t="s">
        <v>22</v>
      </c>
      <c r="B24" s="6">
        <f>(((B20)+(B21))+(B22))+(B23)</f>
        <v>13000</v>
      </c>
      <c r="C24" s="6">
        <f>(((C20)+(C21))+(C22))+(C23)</f>
        <v>13925</v>
      </c>
      <c r="D24" s="6">
        <f t="shared" si="1"/>
        <v>-925</v>
      </c>
      <c r="E24" s="7">
        <f t="shared" si="0"/>
        <v>0.93357271095152605</v>
      </c>
    </row>
    <row r="25" spans="1:5" x14ac:dyDescent="0.2">
      <c r="A25" s="2" t="s">
        <v>23</v>
      </c>
      <c r="B25" s="4">
        <f>3960</f>
        <v>3960</v>
      </c>
      <c r="C25" s="4">
        <f>1800</f>
        <v>1800</v>
      </c>
      <c r="D25" s="4">
        <f t="shared" si="1"/>
        <v>2160</v>
      </c>
      <c r="E25" s="5">
        <f t="shared" si="0"/>
        <v>2.2000000000000002</v>
      </c>
    </row>
    <row r="26" spans="1:5" x14ac:dyDescent="0.2">
      <c r="A26" s="2" t="s">
        <v>24</v>
      </c>
      <c r="B26" s="6">
        <f>((((B9)+(B14))+(B19))+(B24))+(B25)</f>
        <v>180834.75</v>
      </c>
      <c r="C26" s="6">
        <f>((((C9)+(C14))+(C19))+(C24))+(C25)</f>
        <v>171025</v>
      </c>
      <c r="D26" s="6">
        <f t="shared" si="1"/>
        <v>9809.75</v>
      </c>
      <c r="E26" s="7">
        <f t="shared" si="0"/>
        <v>1.057358573307996</v>
      </c>
    </row>
    <row r="27" spans="1:5" x14ac:dyDescent="0.2">
      <c r="A27" s="2" t="s">
        <v>25</v>
      </c>
      <c r="B27" s="3"/>
      <c r="C27" s="3"/>
      <c r="D27" s="4"/>
      <c r="E27" s="5" t="str">
        <f t="shared" si="0"/>
        <v/>
      </c>
    </row>
    <row r="28" spans="1:5" x14ac:dyDescent="0.2">
      <c r="A28" s="2" t="s">
        <v>26</v>
      </c>
      <c r="B28" s="4">
        <f>15870</f>
        <v>15870</v>
      </c>
      <c r="C28" s="4">
        <f>19000</f>
        <v>19000</v>
      </c>
      <c r="D28" s="4">
        <f t="shared" si="1"/>
        <v>-3130</v>
      </c>
      <c r="E28" s="5">
        <f t="shared" si="0"/>
        <v>0.83526315789473682</v>
      </c>
    </row>
    <row r="29" spans="1:5" x14ac:dyDescent="0.2">
      <c r="A29" s="2" t="s">
        <v>27</v>
      </c>
      <c r="B29" s="4">
        <f>30655</f>
        <v>30655</v>
      </c>
      <c r="C29" s="4">
        <f>14000</f>
        <v>14000</v>
      </c>
      <c r="D29" s="4">
        <f t="shared" si="1"/>
        <v>16655</v>
      </c>
      <c r="E29" s="5">
        <f t="shared" si="0"/>
        <v>2.1896428571428572</v>
      </c>
    </row>
    <row r="30" spans="1:5" x14ac:dyDescent="0.2">
      <c r="A30" s="2" t="s">
        <v>28</v>
      </c>
      <c r="B30" s="4">
        <f>214.5</f>
        <v>214.5</v>
      </c>
      <c r="C30" s="3"/>
      <c r="D30" s="4">
        <f t="shared" si="1"/>
        <v>214.5</v>
      </c>
      <c r="E30" s="5" t="str">
        <f t="shared" si="0"/>
        <v/>
      </c>
    </row>
    <row r="31" spans="1:5" x14ac:dyDescent="0.2">
      <c r="A31" s="2" t="s">
        <v>29</v>
      </c>
      <c r="B31" s="4">
        <f>1171.2</f>
        <v>1171.2</v>
      </c>
      <c r="C31" s="3"/>
      <c r="D31" s="4">
        <f t="shared" si="1"/>
        <v>1171.2</v>
      </c>
      <c r="E31" s="5" t="str">
        <f t="shared" si="0"/>
        <v/>
      </c>
    </row>
    <row r="32" spans="1:5" x14ac:dyDescent="0.2">
      <c r="A32" s="2" t="s">
        <v>30</v>
      </c>
      <c r="B32" s="4">
        <f>885</f>
        <v>885</v>
      </c>
      <c r="C32" s="4">
        <f>150</f>
        <v>150</v>
      </c>
      <c r="D32" s="4">
        <f t="shared" si="1"/>
        <v>735</v>
      </c>
      <c r="E32" s="5">
        <f t="shared" si="0"/>
        <v>5.9</v>
      </c>
    </row>
    <row r="33" spans="1:5" x14ac:dyDescent="0.2">
      <c r="A33" s="2" t="s">
        <v>31</v>
      </c>
      <c r="B33" s="4">
        <f>540</f>
        <v>540</v>
      </c>
      <c r="C33" s="3"/>
      <c r="D33" s="4">
        <f t="shared" si="1"/>
        <v>540</v>
      </c>
      <c r="E33" s="5" t="str">
        <f t="shared" si="0"/>
        <v/>
      </c>
    </row>
    <row r="34" spans="1:5" x14ac:dyDescent="0.2">
      <c r="A34" s="2" t="s">
        <v>32</v>
      </c>
      <c r="B34" s="4">
        <f>5000</f>
        <v>5000</v>
      </c>
      <c r="C34" s="4">
        <f>5000</f>
        <v>5000</v>
      </c>
      <c r="D34" s="4">
        <f t="shared" si="1"/>
        <v>0</v>
      </c>
      <c r="E34" s="5">
        <f t="shared" si="0"/>
        <v>1</v>
      </c>
    </row>
    <row r="35" spans="1:5" x14ac:dyDescent="0.2">
      <c r="A35" s="2" t="s">
        <v>33</v>
      </c>
      <c r="B35" s="6">
        <f>(((((((B27)+(B28))+(B29))+(B30))+(B31))+(B32))+(B33))+(B34)</f>
        <v>54335.7</v>
      </c>
      <c r="C35" s="6">
        <f>(((((((C27)+(C28))+(C29))+(C30))+(C31))+(C32))+(C33))+(C34)</f>
        <v>38150</v>
      </c>
      <c r="D35" s="6">
        <f t="shared" si="1"/>
        <v>16185.699999999997</v>
      </c>
      <c r="E35" s="7">
        <f t="shared" si="0"/>
        <v>1.4242647444298819</v>
      </c>
    </row>
    <row r="36" spans="1:5" x14ac:dyDescent="0.2">
      <c r="A36" s="2" t="s">
        <v>34</v>
      </c>
      <c r="B36" s="3"/>
      <c r="C36" s="3"/>
      <c r="D36" s="4"/>
      <c r="E36" s="5" t="str">
        <f t="shared" si="0"/>
        <v/>
      </c>
    </row>
    <row r="37" spans="1:5" x14ac:dyDescent="0.2">
      <c r="A37" s="2" t="s">
        <v>35</v>
      </c>
      <c r="B37" s="4">
        <f>6940</f>
        <v>6940</v>
      </c>
      <c r="C37" s="4">
        <f>5075</f>
        <v>5075</v>
      </c>
      <c r="D37" s="4">
        <f t="shared" si="1"/>
        <v>1865</v>
      </c>
      <c r="E37" s="5">
        <f t="shared" si="0"/>
        <v>1.367487684729064</v>
      </c>
    </row>
    <row r="38" spans="1:5" x14ac:dyDescent="0.2">
      <c r="A38" s="2" t="s">
        <v>36</v>
      </c>
      <c r="B38" s="6">
        <f>(B36)+(B37)</f>
        <v>6940</v>
      </c>
      <c r="C38" s="6">
        <f>(C36)+(C37)</f>
        <v>5075</v>
      </c>
      <c r="D38" s="6">
        <f t="shared" si="1"/>
        <v>1865</v>
      </c>
      <c r="E38" s="7">
        <f t="shared" si="0"/>
        <v>1.367487684729064</v>
      </c>
    </row>
    <row r="39" spans="1:5" x14ac:dyDescent="0.2">
      <c r="A39" s="2" t="s">
        <v>37</v>
      </c>
      <c r="B39" s="6">
        <f>(((B8)+(B26))+(B35))+(B38)</f>
        <v>242110.45</v>
      </c>
      <c r="C39" s="6">
        <f>(((C8)+(C26))+(C35))+(C38)</f>
        <v>214250</v>
      </c>
      <c r="D39" s="6">
        <f t="shared" si="1"/>
        <v>27860.450000000012</v>
      </c>
      <c r="E39" s="7">
        <f t="shared" si="0"/>
        <v>1.1300371061843641</v>
      </c>
    </row>
    <row r="40" spans="1:5" x14ac:dyDescent="0.2">
      <c r="A40" s="2" t="s">
        <v>38</v>
      </c>
      <c r="B40" s="3"/>
      <c r="C40" s="3"/>
      <c r="D40" s="4"/>
      <c r="E40" s="5" t="str">
        <f t="shared" si="0"/>
        <v/>
      </c>
    </row>
    <row r="41" spans="1:5" x14ac:dyDescent="0.2">
      <c r="A41" s="2" t="s">
        <v>39</v>
      </c>
      <c r="B41" s="4">
        <f>3670.6</f>
        <v>3670.6</v>
      </c>
      <c r="C41" s="4">
        <f>2200</f>
        <v>2200</v>
      </c>
      <c r="D41" s="4">
        <f t="shared" si="1"/>
        <v>1470.6</v>
      </c>
      <c r="E41" s="5">
        <f t="shared" si="0"/>
        <v>1.6684545454545454</v>
      </c>
    </row>
    <row r="42" spans="1:5" x14ac:dyDescent="0.2">
      <c r="A42" s="2" t="s">
        <v>40</v>
      </c>
      <c r="B42" s="4">
        <f>4317.48</f>
        <v>4317.4799999999996</v>
      </c>
      <c r="C42" s="4">
        <f>12050</f>
        <v>12050</v>
      </c>
      <c r="D42" s="4">
        <f t="shared" si="1"/>
        <v>-7732.52</v>
      </c>
      <c r="E42" s="5">
        <f t="shared" si="0"/>
        <v>0.35829709543568461</v>
      </c>
    </row>
    <row r="43" spans="1:5" x14ac:dyDescent="0.2">
      <c r="A43" s="2" t="s">
        <v>41</v>
      </c>
      <c r="B43" s="6">
        <f>((B40)+(B41))+(B42)</f>
        <v>7988.08</v>
      </c>
      <c r="C43" s="6">
        <f>((C40)+(C41))+(C42)</f>
        <v>14250</v>
      </c>
      <c r="D43" s="6">
        <f t="shared" si="1"/>
        <v>-6261.92</v>
      </c>
      <c r="E43" s="7">
        <f t="shared" si="0"/>
        <v>0.56056701754385962</v>
      </c>
    </row>
    <row r="44" spans="1:5" x14ac:dyDescent="0.2">
      <c r="A44" s="2" t="s">
        <v>42</v>
      </c>
      <c r="B44" s="3"/>
      <c r="C44" s="3"/>
      <c r="D44" s="4"/>
      <c r="E44" s="5" t="str">
        <f t="shared" si="0"/>
        <v/>
      </c>
    </row>
    <row r="45" spans="1:5" x14ac:dyDescent="0.2">
      <c r="A45" s="2" t="s">
        <v>43</v>
      </c>
      <c r="B45" s="4">
        <f>70850</f>
        <v>70850</v>
      </c>
      <c r="C45" s="4">
        <f>65000</f>
        <v>65000</v>
      </c>
      <c r="D45" s="4">
        <f t="shared" si="1"/>
        <v>5850</v>
      </c>
      <c r="E45" s="5">
        <f t="shared" si="0"/>
        <v>1.0900000000000001</v>
      </c>
    </row>
    <row r="46" spans="1:5" x14ac:dyDescent="0.2">
      <c r="A46" s="2" t="s">
        <v>44</v>
      </c>
      <c r="B46" s="4">
        <f>8019</f>
        <v>8019</v>
      </c>
      <c r="C46" s="4">
        <f>7920</f>
        <v>7920</v>
      </c>
      <c r="D46" s="4">
        <f t="shared" si="1"/>
        <v>99</v>
      </c>
      <c r="E46" s="5">
        <f t="shared" si="0"/>
        <v>1.0125</v>
      </c>
    </row>
    <row r="47" spans="1:5" x14ac:dyDescent="0.2">
      <c r="A47" s="2" t="s">
        <v>45</v>
      </c>
      <c r="B47" s="6">
        <f>((B44)+(B45))+(B46)</f>
        <v>78869</v>
      </c>
      <c r="C47" s="6">
        <f>((C44)+(C45))+(C46)</f>
        <v>72920</v>
      </c>
      <c r="D47" s="6">
        <f t="shared" si="1"/>
        <v>5949</v>
      </c>
      <c r="E47" s="7">
        <f t="shared" si="0"/>
        <v>1.0815825562260011</v>
      </c>
    </row>
    <row r="48" spans="1:5" x14ac:dyDescent="0.2">
      <c r="A48" s="2" t="s">
        <v>46</v>
      </c>
      <c r="B48" s="4">
        <f>3971.57</f>
        <v>3971.57</v>
      </c>
      <c r="C48" s="4">
        <f>1000</f>
        <v>1000</v>
      </c>
      <c r="D48" s="4">
        <f t="shared" si="1"/>
        <v>2971.57</v>
      </c>
      <c r="E48" s="5">
        <f t="shared" si="0"/>
        <v>3.9715700000000003</v>
      </c>
    </row>
    <row r="49" spans="1:5" x14ac:dyDescent="0.2">
      <c r="A49" s="2" t="s">
        <v>47</v>
      </c>
      <c r="B49" s="6">
        <f>(((B39)+(B43))+(B47))+(B48)</f>
        <v>332939.10000000003</v>
      </c>
      <c r="C49" s="6">
        <f>(((C39)+(C43))+(C47))+(C48)</f>
        <v>302420</v>
      </c>
      <c r="D49" s="6">
        <f t="shared" si="1"/>
        <v>30519.100000000035</v>
      </c>
      <c r="E49" s="7">
        <f t="shared" si="0"/>
        <v>1.1009162753786126</v>
      </c>
    </row>
    <row r="50" spans="1:5" x14ac:dyDescent="0.2">
      <c r="A50" s="2" t="s">
        <v>48</v>
      </c>
      <c r="B50" s="6">
        <f>(B49)-(0)</f>
        <v>332939.10000000003</v>
      </c>
      <c r="C50" s="6">
        <f>(C49)-(0)</f>
        <v>302420</v>
      </c>
      <c r="D50" s="6">
        <f t="shared" si="1"/>
        <v>30519.100000000035</v>
      </c>
      <c r="E50" s="7">
        <f t="shared" si="0"/>
        <v>1.1009162753786126</v>
      </c>
    </row>
    <row r="51" spans="1:5" x14ac:dyDescent="0.2">
      <c r="A51" s="2" t="s">
        <v>49</v>
      </c>
      <c r="B51" s="3"/>
      <c r="C51" s="3"/>
      <c r="D51" s="3"/>
      <c r="E51" s="3"/>
    </row>
    <row r="52" spans="1:5" x14ac:dyDescent="0.2">
      <c r="A52" s="2" t="s">
        <v>50</v>
      </c>
      <c r="B52" s="3"/>
      <c r="C52" s="3"/>
      <c r="D52" s="4"/>
      <c r="E52" s="5" t="str">
        <f t="shared" ref="E52:E83" si="2">IF(C52=0,"",(B52)/(C52))</f>
        <v/>
      </c>
    </row>
    <row r="53" spans="1:5" x14ac:dyDescent="0.2">
      <c r="A53" s="2" t="s">
        <v>51</v>
      </c>
      <c r="B53" s="4">
        <f>-510</f>
        <v>-510</v>
      </c>
      <c r="C53" s="4">
        <f>3300</f>
        <v>3300</v>
      </c>
      <c r="D53" s="4">
        <f t="shared" ref="D53:D83" si="3">(B53)-(C53)</f>
        <v>-3810</v>
      </c>
      <c r="E53" s="5">
        <f t="shared" si="2"/>
        <v>-0.15454545454545454</v>
      </c>
    </row>
    <row r="54" spans="1:5" x14ac:dyDescent="0.2">
      <c r="A54" s="2" t="s">
        <v>52</v>
      </c>
      <c r="B54" s="4">
        <f>129</f>
        <v>129</v>
      </c>
      <c r="C54" s="4">
        <f>129</f>
        <v>129</v>
      </c>
      <c r="D54" s="4">
        <f t="shared" si="3"/>
        <v>0</v>
      </c>
      <c r="E54" s="5">
        <f t="shared" si="2"/>
        <v>1</v>
      </c>
    </row>
    <row r="55" spans="1:5" x14ac:dyDescent="0.2">
      <c r="A55" s="2" t="s">
        <v>53</v>
      </c>
      <c r="B55" s="4">
        <f>57514</f>
        <v>57514</v>
      </c>
      <c r="C55" s="4">
        <f>84996</f>
        <v>84996</v>
      </c>
      <c r="D55" s="4">
        <f t="shared" si="3"/>
        <v>-27482</v>
      </c>
      <c r="E55" s="5">
        <f t="shared" si="2"/>
        <v>0.6766671372770483</v>
      </c>
    </row>
    <row r="56" spans="1:5" x14ac:dyDescent="0.2">
      <c r="A56" s="2" t="s">
        <v>54</v>
      </c>
      <c r="B56" s="4">
        <f>11</f>
        <v>11</v>
      </c>
      <c r="C56" s="4">
        <f>50</f>
        <v>50</v>
      </c>
      <c r="D56" s="4">
        <f t="shared" si="3"/>
        <v>-39</v>
      </c>
      <c r="E56" s="5">
        <f t="shared" si="2"/>
        <v>0.22</v>
      </c>
    </row>
    <row r="57" spans="1:5" x14ac:dyDescent="0.2">
      <c r="A57" s="2" t="s">
        <v>55</v>
      </c>
      <c r="B57" s="4">
        <f>1210.31</f>
        <v>1210.31</v>
      </c>
      <c r="C57" s="4">
        <f>2000</f>
        <v>2000</v>
      </c>
      <c r="D57" s="4">
        <f t="shared" si="3"/>
        <v>-789.69</v>
      </c>
      <c r="E57" s="5">
        <f t="shared" si="2"/>
        <v>0.605155</v>
      </c>
    </row>
    <row r="58" spans="1:5" x14ac:dyDescent="0.2">
      <c r="A58" s="2" t="s">
        <v>56</v>
      </c>
      <c r="B58" s="4">
        <f>1791.64</f>
        <v>1791.64</v>
      </c>
      <c r="C58" s="4">
        <f>2600</f>
        <v>2600</v>
      </c>
      <c r="D58" s="4">
        <f t="shared" si="3"/>
        <v>-808.3599999999999</v>
      </c>
      <c r="E58" s="5">
        <f t="shared" si="2"/>
        <v>0.68909230769230778</v>
      </c>
    </row>
    <row r="59" spans="1:5" x14ac:dyDescent="0.2">
      <c r="A59" s="2" t="s">
        <v>57</v>
      </c>
      <c r="B59" s="4">
        <f>2303.97</f>
        <v>2303.9699999999998</v>
      </c>
      <c r="C59" s="4">
        <f>3000</f>
        <v>3000</v>
      </c>
      <c r="D59" s="4">
        <f t="shared" si="3"/>
        <v>-696.0300000000002</v>
      </c>
      <c r="E59" s="5">
        <f t="shared" si="2"/>
        <v>0.76798999999999995</v>
      </c>
    </row>
    <row r="60" spans="1:5" x14ac:dyDescent="0.2">
      <c r="A60" s="2" t="s">
        <v>58</v>
      </c>
      <c r="B60" s="4">
        <f>3200</f>
        <v>3200</v>
      </c>
      <c r="C60" s="4">
        <f>5000</f>
        <v>5000</v>
      </c>
      <c r="D60" s="4">
        <f t="shared" si="3"/>
        <v>-1800</v>
      </c>
      <c r="E60" s="5">
        <f t="shared" si="2"/>
        <v>0.64</v>
      </c>
    </row>
    <row r="61" spans="1:5" x14ac:dyDescent="0.2">
      <c r="A61" s="2" t="s">
        <v>59</v>
      </c>
      <c r="B61" s="3"/>
      <c r="C61" s="4">
        <f>500</f>
        <v>500</v>
      </c>
      <c r="D61" s="4">
        <f t="shared" si="3"/>
        <v>-500</v>
      </c>
      <c r="E61" s="5">
        <f t="shared" si="2"/>
        <v>0</v>
      </c>
    </row>
    <row r="62" spans="1:5" x14ac:dyDescent="0.2">
      <c r="A62" s="2" t="s">
        <v>60</v>
      </c>
      <c r="B62" s="4">
        <f>-1</f>
        <v>-1</v>
      </c>
      <c r="C62" s="4">
        <f>500</f>
        <v>500</v>
      </c>
      <c r="D62" s="4">
        <f t="shared" si="3"/>
        <v>-501</v>
      </c>
      <c r="E62" s="5">
        <f t="shared" si="2"/>
        <v>-2E-3</v>
      </c>
    </row>
    <row r="63" spans="1:5" x14ac:dyDescent="0.2">
      <c r="A63" s="2" t="s">
        <v>61</v>
      </c>
      <c r="B63" s="6">
        <f>((((((((((B52)+(B53))+(B54))+(B55))+(B56))+(B57))+(B58))+(B59))+(B60))+(B61))+(B62)</f>
        <v>65648.92</v>
      </c>
      <c r="C63" s="6">
        <f>((((((((((C52)+(C53))+(C54))+(C55))+(C56))+(C57))+(C58))+(C59))+(C60))+(C61))+(C62)</f>
        <v>102075</v>
      </c>
      <c r="D63" s="6">
        <f t="shared" si="3"/>
        <v>-36426.080000000002</v>
      </c>
      <c r="E63" s="7">
        <f t="shared" si="2"/>
        <v>0.64314396277247121</v>
      </c>
    </row>
    <row r="64" spans="1:5" x14ac:dyDescent="0.2">
      <c r="A64" s="2" t="s">
        <v>62</v>
      </c>
      <c r="B64" s="3"/>
      <c r="C64" s="3"/>
      <c r="D64" s="4"/>
      <c r="E64" s="5" t="str">
        <f t="shared" si="2"/>
        <v/>
      </c>
    </row>
    <row r="65" spans="1:5" x14ac:dyDescent="0.2">
      <c r="A65" s="2" t="s">
        <v>63</v>
      </c>
      <c r="B65" s="4">
        <f>2827.36</f>
        <v>2827.36</v>
      </c>
      <c r="C65" s="4">
        <f>3000</f>
        <v>3000</v>
      </c>
      <c r="D65" s="4">
        <f t="shared" si="3"/>
        <v>-172.63999999999987</v>
      </c>
      <c r="E65" s="5">
        <f t="shared" si="2"/>
        <v>0.94245333333333337</v>
      </c>
    </row>
    <row r="66" spans="1:5" x14ac:dyDescent="0.2">
      <c r="A66" s="2" t="s">
        <v>64</v>
      </c>
      <c r="B66" s="4">
        <f>294.98</f>
        <v>294.98</v>
      </c>
      <c r="C66" s="4">
        <f>1500</f>
        <v>1500</v>
      </c>
      <c r="D66" s="4">
        <f t="shared" si="3"/>
        <v>-1205.02</v>
      </c>
      <c r="E66" s="5">
        <f t="shared" si="2"/>
        <v>0.19665333333333335</v>
      </c>
    </row>
    <row r="67" spans="1:5" x14ac:dyDescent="0.2">
      <c r="A67" s="2" t="s">
        <v>65</v>
      </c>
      <c r="B67" s="4">
        <f>3716</f>
        <v>3716</v>
      </c>
      <c r="C67" s="4">
        <f>2250</f>
        <v>2250</v>
      </c>
      <c r="D67" s="4">
        <f t="shared" si="3"/>
        <v>1466</v>
      </c>
      <c r="E67" s="5">
        <f t="shared" si="2"/>
        <v>1.6515555555555557</v>
      </c>
    </row>
    <row r="68" spans="1:5" x14ac:dyDescent="0.2">
      <c r="A68" s="2" t="s">
        <v>66</v>
      </c>
      <c r="B68" s="4">
        <f>28826.63</f>
        <v>28826.63</v>
      </c>
      <c r="C68" s="4">
        <f>28760</f>
        <v>28760</v>
      </c>
      <c r="D68" s="4">
        <f t="shared" si="3"/>
        <v>66.630000000001019</v>
      </c>
      <c r="E68" s="5">
        <f t="shared" si="2"/>
        <v>1.0023167593880389</v>
      </c>
    </row>
    <row r="69" spans="1:5" x14ac:dyDescent="0.2">
      <c r="A69" s="2" t="s">
        <v>67</v>
      </c>
      <c r="B69" s="4">
        <f>70792.54</f>
        <v>70792.539999999994</v>
      </c>
      <c r="C69" s="4">
        <f>60766.95</f>
        <v>60766.95</v>
      </c>
      <c r="D69" s="4">
        <f t="shared" si="3"/>
        <v>10025.589999999997</v>
      </c>
      <c r="E69" s="5">
        <f t="shared" si="2"/>
        <v>1.1649842554217382</v>
      </c>
    </row>
    <row r="70" spans="1:5" x14ac:dyDescent="0.2">
      <c r="A70" s="2" t="s">
        <v>68</v>
      </c>
      <c r="B70" s="4">
        <f>4752.92</f>
        <v>4752.92</v>
      </c>
      <c r="C70" s="4">
        <f>3940</f>
        <v>3940</v>
      </c>
      <c r="D70" s="4">
        <f t="shared" si="3"/>
        <v>812.92000000000007</v>
      </c>
      <c r="E70" s="5">
        <f t="shared" si="2"/>
        <v>1.2063248730964466</v>
      </c>
    </row>
    <row r="71" spans="1:5" x14ac:dyDescent="0.2">
      <c r="A71" s="2" t="s">
        <v>69</v>
      </c>
      <c r="B71" s="3"/>
      <c r="C71" s="4">
        <f>200</f>
        <v>200</v>
      </c>
      <c r="D71" s="4">
        <f t="shared" si="3"/>
        <v>-200</v>
      </c>
      <c r="E71" s="5">
        <f t="shared" si="2"/>
        <v>0</v>
      </c>
    </row>
    <row r="72" spans="1:5" x14ac:dyDescent="0.2">
      <c r="A72" s="2" t="s">
        <v>70</v>
      </c>
      <c r="B72" s="4">
        <f>10982.96</f>
        <v>10982.96</v>
      </c>
      <c r="C72" s="4">
        <f>11000</f>
        <v>11000</v>
      </c>
      <c r="D72" s="4">
        <f t="shared" si="3"/>
        <v>-17.040000000000873</v>
      </c>
      <c r="E72" s="5">
        <f t="shared" si="2"/>
        <v>0.99845090909090906</v>
      </c>
    </row>
    <row r="73" spans="1:5" x14ac:dyDescent="0.2">
      <c r="A73" s="2" t="s">
        <v>71</v>
      </c>
      <c r="B73" s="4">
        <f>1948.66</f>
        <v>1948.66</v>
      </c>
      <c r="C73" s="4">
        <f>2200</f>
        <v>2200</v>
      </c>
      <c r="D73" s="4">
        <f t="shared" si="3"/>
        <v>-251.33999999999992</v>
      </c>
      <c r="E73" s="5">
        <f t="shared" si="2"/>
        <v>0.88575454545454546</v>
      </c>
    </row>
    <row r="74" spans="1:5" x14ac:dyDescent="0.2">
      <c r="A74" s="2" t="s">
        <v>72</v>
      </c>
      <c r="B74" s="4">
        <f>3128.8</f>
        <v>3128.8</v>
      </c>
      <c r="C74" s="4">
        <f>2799.36</f>
        <v>2799.36</v>
      </c>
      <c r="D74" s="4">
        <f t="shared" si="3"/>
        <v>329.44000000000005</v>
      </c>
      <c r="E74" s="5">
        <f t="shared" si="2"/>
        <v>1.1176840420667582</v>
      </c>
    </row>
    <row r="75" spans="1:5" x14ac:dyDescent="0.2">
      <c r="A75" s="2" t="s">
        <v>73</v>
      </c>
      <c r="B75" s="6">
        <f>(B73)+(B74)</f>
        <v>5077.46</v>
      </c>
      <c r="C75" s="6">
        <f>(C73)+(C74)</f>
        <v>4999.3600000000006</v>
      </c>
      <c r="D75" s="6">
        <f t="shared" si="3"/>
        <v>78.099999999999454</v>
      </c>
      <c r="E75" s="7">
        <f t="shared" si="2"/>
        <v>1.0156219996159508</v>
      </c>
    </row>
    <row r="76" spans="1:5" x14ac:dyDescent="0.2">
      <c r="A76" s="2" t="s">
        <v>74</v>
      </c>
      <c r="B76" s="3"/>
      <c r="C76" s="4">
        <f>13709.25</f>
        <v>13709.25</v>
      </c>
      <c r="D76" s="4">
        <f t="shared" si="3"/>
        <v>-13709.25</v>
      </c>
      <c r="E76" s="5">
        <f t="shared" si="2"/>
        <v>0</v>
      </c>
    </row>
    <row r="77" spans="1:5" x14ac:dyDescent="0.2">
      <c r="A77" s="2" t="s">
        <v>75</v>
      </c>
      <c r="B77" s="4">
        <f>16000</f>
        <v>16000</v>
      </c>
      <c r="C77" s="3"/>
      <c r="D77" s="4">
        <f t="shared" si="3"/>
        <v>16000</v>
      </c>
      <c r="E77" s="5" t="str">
        <f t="shared" si="2"/>
        <v/>
      </c>
    </row>
    <row r="78" spans="1:5" x14ac:dyDescent="0.2">
      <c r="A78" s="2" t="s">
        <v>76</v>
      </c>
      <c r="B78" s="4">
        <f>992.76</f>
        <v>992.76</v>
      </c>
      <c r="C78" s="3"/>
      <c r="D78" s="4">
        <f t="shared" si="3"/>
        <v>992.76</v>
      </c>
      <c r="E78" s="5" t="str">
        <f t="shared" si="2"/>
        <v/>
      </c>
    </row>
    <row r="79" spans="1:5" x14ac:dyDescent="0.2">
      <c r="A79" s="2" t="s">
        <v>77</v>
      </c>
      <c r="B79" s="6">
        <f>((B76)+(B77))+(B78)</f>
        <v>16992.759999999998</v>
      </c>
      <c r="C79" s="6">
        <f>((C76)+(C77))+(C78)</f>
        <v>13709.25</v>
      </c>
      <c r="D79" s="6">
        <f t="shared" si="3"/>
        <v>3283.5099999999984</v>
      </c>
      <c r="E79" s="7">
        <f t="shared" si="2"/>
        <v>1.2395105494465415</v>
      </c>
    </row>
    <row r="80" spans="1:5" x14ac:dyDescent="0.2">
      <c r="A80" s="2" t="s">
        <v>78</v>
      </c>
      <c r="B80" s="3"/>
      <c r="C80" s="4">
        <f>6500</f>
        <v>6500</v>
      </c>
      <c r="D80" s="4">
        <f t="shared" si="3"/>
        <v>-6500</v>
      </c>
      <c r="E80" s="5">
        <f t="shared" si="2"/>
        <v>0</v>
      </c>
    </row>
    <row r="81" spans="1:5" x14ac:dyDescent="0.2">
      <c r="A81" s="2" t="s">
        <v>79</v>
      </c>
      <c r="B81" s="4">
        <f>5849</f>
        <v>5849</v>
      </c>
      <c r="C81" s="4">
        <f>5400</f>
        <v>5400</v>
      </c>
      <c r="D81" s="4">
        <f t="shared" si="3"/>
        <v>449</v>
      </c>
      <c r="E81" s="5">
        <f t="shared" si="2"/>
        <v>1.0831481481481482</v>
      </c>
    </row>
    <row r="82" spans="1:5" x14ac:dyDescent="0.2">
      <c r="A82" s="2" t="s">
        <v>80</v>
      </c>
      <c r="B82" s="4">
        <f>2717.23</f>
        <v>2717.23</v>
      </c>
      <c r="C82" s="4">
        <f>500</f>
        <v>500</v>
      </c>
      <c r="D82" s="4">
        <f t="shared" si="3"/>
        <v>2217.23</v>
      </c>
      <c r="E82" s="5">
        <f t="shared" si="2"/>
        <v>5.4344599999999996</v>
      </c>
    </row>
    <row r="83" spans="1:5" x14ac:dyDescent="0.2">
      <c r="A83" s="2" t="s">
        <v>81</v>
      </c>
      <c r="B83" s="4">
        <f>73.67</f>
        <v>73.67</v>
      </c>
      <c r="C83" s="3"/>
      <c r="D83" s="4">
        <f t="shared" si="3"/>
        <v>73.67</v>
      </c>
      <c r="E83" s="5" t="str">
        <f t="shared" si="2"/>
        <v/>
      </c>
    </row>
    <row r="84" spans="1:5" x14ac:dyDescent="0.2">
      <c r="A84" s="2" t="s">
        <v>82</v>
      </c>
      <c r="B84" s="4">
        <f>975</f>
        <v>975</v>
      </c>
      <c r="C84" s="4">
        <f>1000</f>
        <v>1000</v>
      </c>
      <c r="D84" s="4">
        <f t="shared" ref="D84:D115" si="4">(B84)-(C84)</f>
        <v>-25</v>
      </c>
      <c r="E84" s="5">
        <f t="shared" ref="E84:E115" si="5">IF(C84=0,"",(B84)/(C84))</f>
        <v>0.97499999999999998</v>
      </c>
    </row>
    <row r="85" spans="1:5" x14ac:dyDescent="0.2">
      <c r="A85" s="2" t="s">
        <v>83</v>
      </c>
      <c r="B85" s="6">
        <f>((B82)+(B83))+(B84)</f>
        <v>3765.9</v>
      </c>
      <c r="C85" s="6">
        <f>((C82)+(C83))+(C84)</f>
        <v>1500</v>
      </c>
      <c r="D85" s="6">
        <f t="shared" si="4"/>
        <v>2265.9</v>
      </c>
      <c r="E85" s="7">
        <f t="shared" si="5"/>
        <v>2.5106000000000002</v>
      </c>
    </row>
    <row r="86" spans="1:5" x14ac:dyDescent="0.2">
      <c r="A86" s="2" t="s">
        <v>84</v>
      </c>
      <c r="B86" s="4">
        <f>1437.5</f>
        <v>1437.5</v>
      </c>
      <c r="C86" s="4">
        <f>1200</f>
        <v>1200</v>
      </c>
      <c r="D86" s="4">
        <f t="shared" si="4"/>
        <v>237.5</v>
      </c>
      <c r="E86" s="5">
        <f t="shared" si="5"/>
        <v>1.1979166666666667</v>
      </c>
    </row>
    <row r="87" spans="1:5" x14ac:dyDescent="0.2">
      <c r="A87" s="2" t="s">
        <v>85</v>
      </c>
      <c r="B87" s="4">
        <f>4214.52</f>
        <v>4214.5200000000004</v>
      </c>
      <c r="C87" s="4">
        <f>4300</f>
        <v>4300</v>
      </c>
      <c r="D87" s="4">
        <f t="shared" si="4"/>
        <v>-85.479999999999563</v>
      </c>
      <c r="E87" s="5">
        <f t="shared" si="5"/>
        <v>0.9801209302325582</v>
      </c>
    </row>
    <row r="88" spans="1:5" x14ac:dyDescent="0.2">
      <c r="A88" s="2" t="s">
        <v>86</v>
      </c>
      <c r="B88" s="4">
        <f>3847.34</f>
        <v>3847.34</v>
      </c>
      <c r="C88" s="4">
        <f>5000</f>
        <v>5000</v>
      </c>
      <c r="D88" s="4">
        <f t="shared" si="4"/>
        <v>-1152.6599999999999</v>
      </c>
      <c r="E88" s="5">
        <f t="shared" si="5"/>
        <v>0.76946800000000004</v>
      </c>
    </row>
    <row r="89" spans="1:5" x14ac:dyDescent="0.2">
      <c r="A89" s="2" t="s">
        <v>87</v>
      </c>
      <c r="B89" s="6">
        <f>((((((((((((((((B64)+(B65))+(B66))+(B67))+(B68))+(B69))+(B70))+(B71))+(B72))+(B75))+(B79))+(B80))+(B81))+(B85))+(B86))+(B87))+(B88)</f>
        <v>163377.86999999997</v>
      </c>
      <c r="C89" s="6">
        <f>((((((((((((((((C64)+(C65))+(C66))+(C67))+(C68))+(C69))+(C70))+(C71))+(C72))+(C75))+(C79))+(C80))+(C81))+(C85))+(C86))+(C87))+(C88)</f>
        <v>154025.56</v>
      </c>
      <c r="D89" s="6">
        <f t="shared" si="4"/>
        <v>9352.3099999999686</v>
      </c>
      <c r="E89" s="7">
        <f t="shared" si="5"/>
        <v>1.060719207902896</v>
      </c>
    </row>
    <row r="90" spans="1:5" x14ac:dyDescent="0.2">
      <c r="A90" s="2" t="s">
        <v>88</v>
      </c>
      <c r="B90" s="3"/>
      <c r="C90" s="3"/>
      <c r="D90" s="4">
        <f t="shared" si="4"/>
        <v>0</v>
      </c>
      <c r="E90" s="5" t="str">
        <f t="shared" si="5"/>
        <v/>
      </c>
    </row>
    <row r="91" spans="1:5" x14ac:dyDescent="0.2">
      <c r="A91" s="2" t="s">
        <v>89</v>
      </c>
      <c r="B91" s="4">
        <f>4727.79</f>
        <v>4727.79</v>
      </c>
      <c r="C91" s="4">
        <f>5000</f>
        <v>5000</v>
      </c>
      <c r="D91" s="4">
        <f t="shared" si="4"/>
        <v>-272.21000000000004</v>
      </c>
      <c r="E91" s="5">
        <f t="shared" si="5"/>
        <v>0.94555800000000001</v>
      </c>
    </row>
    <row r="92" spans="1:5" x14ac:dyDescent="0.2">
      <c r="A92" s="2" t="s">
        <v>90</v>
      </c>
      <c r="B92" s="3"/>
      <c r="C92" s="4">
        <f>500</f>
        <v>500</v>
      </c>
      <c r="D92" s="4">
        <f t="shared" si="4"/>
        <v>-500</v>
      </c>
      <c r="E92" s="5">
        <f t="shared" si="5"/>
        <v>0</v>
      </c>
    </row>
    <row r="93" spans="1:5" x14ac:dyDescent="0.2">
      <c r="A93" s="2" t="s">
        <v>91</v>
      </c>
      <c r="B93" s="6">
        <f>((B90)+(B91))+(B92)</f>
        <v>4727.79</v>
      </c>
      <c r="C93" s="6">
        <f>((C90)+(C91))+(C92)</f>
        <v>5500</v>
      </c>
      <c r="D93" s="6">
        <f t="shared" si="4"/>
        <v>-772.21</v>
      </c>
      <c r="E93" s="7">
        <f t="shared" si="5"/>
        <v>0.85959818181818182</v>
      </c>
    </row>
    <row r="94" spans="1:5" x14ac:dyDescent="0.2">
      <c r="A94" s="2" t="s">
        <v>92</v>
      </c>
      <c r="B94" s="3"/>
      <c r="C94" s="3"/>
      <c r="D94" s="4"/>
      <c r="E94" s="5" t="str">
        <f t="shared" si="5"/>
        <v/>
      </c>
    </row>
    <row r="95" spans="1:5" x14ac:dyDescent="0.2">
      <c r="A95" s="2" t="s">
        <v>93</v>
      </c>
      <c r="B95" s="3"/>
      <c r="C95" s="4">
        <f>300</f>
        <v>300</v>
      </c>
      <c r="D95" s="4">
        <f t="shared" si="4"/>
        <v>-300</v>
      </c>
      <c r="E95" s="5">
        <f t="shared" si="5"/>
        <v>0</v>
      </c>
    </row>
    <row r="96" spans="1:5" x14ac:dyDescent="0.2">
      <c r="A96" s="2" t="s">
        <v>94</v>
      </c>
      <c r="B96" s="4">
        <f>7338.24</f>
        <v>7338.24</v>
      </c>
      <c r="C96" s="4">
        <f>5400</f>
        <v>5400</v>
      </c>
      <c r="D96" s="4">
        <f t="shared" si="4"/>
        <v>1938.2399999999998</v>
      </c>
      <c r="E96" s="5">
        <f t="shared" si="5"/>
        <v>1.3589333333333333</v>
      </c>
    </row>
    <row r="97" spans="1:5" x14ac:dyDescent="0.2">
      <c r="A97" s="2" t="s">
        <v>95</v>
      </c>
      <c r="B97" s="4">
        <f>4284.77</f>
        <v>4284.7700000000004</v>
      </c>
      <c r="C97" s="4">
        <f>3000</f>
        <v>3000</v>
      </c>
      <c r="D97" s="4">
        <f t="shared" si="4"/>
        <v>1284.7700000000004</v>
      </c>
      <c r="E97" s="5">
        <f t="shared" si="5"/>
        <v>1.4282566666666667</v>
      </c>
    </row>
    <row r="98" spans="1:5" x14ac:dyDescent="0.2">
      <c r="A98" s="2" t="s">
        <v>96</v>
      </c>
      <c r="B98" s="4">
        <f>1444.05</f>
        <v>1444.05</v>
      </c>
      <c r="C98" s="4">
        <f>1200</f>
        <v>1200</v>
      </c>
      <c r="D98" s="4">
        <f t="shared" si="4"/>
        <v>244.04999999999995</v>
      </c>
      <c r="E98" s="5">
        <f t="shared" si="5"/>
        <v>1.2033749999999999</v>
      </c>
    </row>
    <row r="99" spans="1:5" x14ac:dyDescent="0.2">
      <c r="A99" s="2" t="s">
        <v>97</v>
      </c>
      <c r="B99" s="4">
        <f>678.31</f>
        <v>678.31</v>
      </c>
      <c r="C99" s="4">
        <f>500</f>
        <v>500</v>
      </c>
      <c r="D99" s="4">
        <f t="shared" si="4"/>
        <v>178.30999999999995</v>
      </c>
      <c r="E99" s="5">
        <f t="shared" si="5"/>
        <v>1.3566199999999999</v>
      </c>
    </row>
    <row r="100" spans="1:5" x14ac:dyDescent="0.2">
      <c r="A100" s="2" t="s">
        <v>98</v>
      </c>
      <c r="B100" s="3"/>
      <c r="C100" s="4">
        <f>30</f>
        <v>30</v>
      </c>
      <c r="D100" s="4">
        <f t="shared" si="4"/>
        <v>-30</v>
      </c>
      <c r="E100" s="5">
        <f t="shared" si="5"/>
        <v>0</v>
      </c>
    </row>
    <row r="101" spans="1:5" x14ac:dyDescent="0.2">
      <c r="A101" s="2" t="s">
        <v>99</v>
      </c>
      <c r="B101" s="3"/>
      <c r="C101" s="4">
        <f>600</f>
        <v>600</v>
      </c>
      <c r="D101" s="4">
        <f t="shared" si="4"/>
        <v>-600</v>
      </c>
      <c r="E101" s="5">
        <f t="shared" si="5"/>
        <v>0</v>
      </c>
    </row>
    <row r="102" spans="1:5" x14ac:dyDescent="0.2">
      <c r="A102" s="2" t="s">
        <v>100</v>
      </c>
      <c r="B102" s="4">
        <f>730.59</f>
        <v>730.59</v>
      </c>
      <c r="C102" s="4">
        <f>1000</f>
        <v>1000</v>
      </c>
      <c r="D102" s="4">
        <f t="shared" si="4"/>
        <v>-269.40999999999997</v>
      </c>
      <c r="E102" s="5">
        <f t="shared" si="5"/>
        <v>0.73059000000000007</v>
      </c>
    </row>
    <row r="103" spans="1:5" x14ac:dyDescent="0.2">
      <c r="A103" s="2" t="s">
        <v>101</v>
      </c>
      <c r="B103" s="6">
        <f>((((((((B94)+(B95))+(B96))+(B97))+(B98))+(B99))+(B100))+(B101))+(B102)</f>
        <v>14475.96</v>
      </c>
      <c r="C103" s="6">
        <f>((((((((C94)+(C95))+(C96))+(C97))+(C98))+(C99))+(C100))+(C101))+(C102)</f>
        <v>12030</v>
      </c>
      <c r="D103" s="6">
        <f t="shared" si="4"/>
        <v>2445.9599999999991</v>
      </c>
      <c r="E103" s="7">
        <f t="shared" si="5"/>
        <v>1.2033216957605983</v>
      </c>
    </row>
    <row r="104" spans="1:5" x14ac:dyDescent="0.2">
      <c r="A104" s="2" t="s">
        <v>102</v>
      </c>
      <c r="B104" s="3"/>
      <c r="C104" s="3"/>
      <c r="D104" s="4"/>
      <c r="E104" s="5" t="str">
        <f t="shared" si="5"/>
        <v/>
      </c>
    </row>
    <row r="105" spans="1:5" x14ac:dyDescent="0.2">
      <c r="A105" s="2" t="s">
        <v>103</v>
      </c>
      <c r="B105" s="4">
        <f>155.5</f>
        <v>155.5</v>
      </c>
      <c r="C105" s="4">
        <f>500</f>
        <v>500</v>
      </c>
      <c r="D105" s="4">
        <f t="shared" si="4"/>
        <v>-344.5</v>
      </c>
      <c r="E105" s="5">
        <f t="shared" si="5"/>
        <v>0.311</v>
      </c>
    </row>
    <row r="106" spans="1:5" x14ac:dyDescent="0.2">
      <c r="A106" s="2" t="s">
        <v>104</v>
      </c>
      <c r="B106" s="4">
        <f>12.43</f>
        <v>12.43</v>
      </c>
      <c r="C106" s="4">
        <f>250</f>
        <v>250</v>
      </c>
      <c r="D106" s="4">
        <f t="shared" si="4"/>
        <v>-237.57</v>
      </c>
      <c r="E106" s="5">
        <f t="shared" si="5"/>
        <v>4.972E-2</v>
      </c>
    </row>
    <row r="107" spans="1:5" x14ac:dyDescent="0.2">
      <c r="A107" s="2" t="s">
        <v>105</v>
      </c>
      <c r="B107" s="6">
        <f>((B104)+(B105))+(B106)</f>
        <v>167.93</v>
      </c>
      <c r="C107" s="6">
        <f>((C104)+(C105))+(C106)</f>
        <v>750</v>
      </c>
      <c r="D107" s="6">
        <f t="shared" si="4"/>
        <v>-582.06999999999994</v>
      </c>
      <c r="E107" s="7">
        <f t="shared" si="5"/>
        <v>0.22390666666666667</v>
      </c>
    </row>
    <row r="108" spans="1:5" x14ac:dyDescent="0.2">
      <c r="A108" s="2" t="s">
        <v>106</v>
      </c>
      <c r="B108" s="3"/>
      <c r="C108" s="3"/>
      <c r="D108" s="4"/>
      <c r="E108" s="5" t="str">
        <f t="shared" si="5"/>
        <v/>
      </c>
    </row>
    <row r="109" spans="1:5" x14ac:dyDescent="0.2">
      <c r="A109" s="2" t="s">
        <v>107</v>
      </c>
      <c r="B109" s="4">
        <f>566.8</f>
        <v>566.79999999999995</v>
      </c>
      <c r="C109" s="4">
        <f>5000</f>
        <v>5000</v>
      </c>
      <c r="D109" s="4">
        <f t="shared" si="4"/>
        <v>-4433.2</v>
      </c>
      <c r="E109" s="5">
        <f t="shared" si="5"/>
        <v>0.11335999999999999</v>
      </c>
    </row>
    <row r="110" spans="1:5" x14ac:dyDescent="0.2">
      <c r="A110" s="2" t="s">
        <v>108</v>
      </c>
      <c r="B110" s="4">
        <f>790.5</f>
        <v>790.5</v>
      </c>
      <c r="C110" s="4">
        <f>1300</f>
        <v>1300</v>
      </c>
      <c r="D110" s="4">
        <f t="shared" si="4"/>
        <v>-509.5</v>
      </c>
      <c r="E110" s="5">
        <f t="shared" si="5"/>
        <v>0.60807692307692307</v>
      </c>
    </row>
    <row r="111" spans="1:5" x14ac:dyDescent="0.2">
      <c r="A111" s="2" t="s">
        <v>109</v>
      </c>
      <c r="B111" s="3"/>
      <c r="C111" s="3"/>
      <c r="D111" s="4"/>
      <c r="E111" s="5" t="str">
        <f t="shared" si="5"/>
        <v/>
      </c>
    </row>
    <row r="112" spans="1:5" x14ac:dyDescent="0.2">
      <c r="A112" s="2" t="s">
        <v>110</v>
      </c>
      <c r="B112" s="3"/>
      <c r="C112" s="4">
        <f>2000</f>
        <v>2000</v>
      </c>
      <c r="D112" s="4">
        <f t="shared" si="4"/>
        <v>-2000</v>
      </c>
      <c r="E112" s="5">
        <f t="shared" si="5"/>
        <v>0</v>
      </c>
    </row>
    <row r="113" spans="1:5" x14ac:dyDescent="0.2">
      <c r="A113" s="2" t="s">
        <v>111</v>
      </c>
      <c r="B113" s="3"/>
      <c r="C113" s="4">
        <f>2000</f>
        <v>2000</v>
      </c>
      <c r="D113" s="4">
        <f t="shared" si="4"/>
        <v>-2000</v>
      </c>
      <c r="E113" s="5">
        <f t="shared" si="5"/>
        <v>0</v>
      </c>
    </row>
    <row r="114" spans="1:5" x14ac:dyDescent="0.2">
      <c r="A114" s="2" t="s">
        <v>112</v>
      </c>
      <c r="B114" s="3"/>
      <c r="C114" s="4">
        <f>2000</f>
        <v>2000</v>
      </c>
      <c r="D114" s="4">
        <f t="shared" si="4"/>
        <v>-2000</v>
      </c>
      <c r="E114" s="5">
        <f t="shared" si="5"/>
        <v>0</v>
      </c>
    </row>
    <row r="115" spans="1:5" x14ac:dyDescent="0.2">
      <c r="A115" s="2" t="s">
        <v>113</v>
      </c>
      <c r="B115" s="6">
        <f>(((B111)+(B112))+(B113))+(B114)</f>
        <v>0</v>
      </c>
      <c r="C115" s="6">
        <f>(((C111)+(C112))+(C113))+(C114)</f>
        <v>6000</v>
      </c>
      <c r="D115" s="6">
        <f t="shared" si="4"/>
        <v>-6000</v>
      </c>
      <c r="E115" s="7">
        <f t="shared" si="5"/>
        <v>0</v>
      </c>
    </row>
    <row r="116" spans="1:5" x14ac:dyDescent="0.2">
      <c r="A116" s="2" t="s">
        <v>114</v>
      </c>
      <c r="B116" s="6">
        <f>(((B108)+(B109))+(B110))+(B115)</f>
        <v>1357.3</v>
      </c>
      <c r="C116" s="6">
        <f>(((C108)+(C109))+(C110))+(C115)</f>
        <v>12300</v>
      </c>
      <c r="D116" s="6">
        <f t="shared" ref="D116:D143" si="6">(B116)-(C116)</f>
        <v>-10942.7</v>
      </c>
      <c r="E116" s="7">
        <f t="shared" ref="E116:E143" si="7">IF(C116=0,"",(B116)/(C116))</f>
        <v>0.11034959349593496</v>
      </c>
    </row>
    <row r="117" spans="1:5" x14ac:dyDescent="0.2">
      <c r="A117" s="2" t="s">
        <v>115</v>
      </c>
      <c r="B117" s="3"/>
      <c r="C117" s="3"/>
      <c r="D117" s="4"/>
      <c r="E117" s="5" t="str">
        <f t="shared" si="7"/>
        <v/>
      </c>
    </row>
    <row r="118" spans="1:5" x14ac:dyDescent="0.2">
      <c r="A118" s="2" t="s">
        <v>116</v>
      </c>
      <c r="B118" s="4">
        <f>2455</f>
        <v>2455</v>
      </c>
      <c r="C118" s="4">
        <f>6000</f>
        <v>6000</v>
      </c>
      <c r="D118" s="4">
        <f t="shared" si="6"/>
        <v>-3545</v>
      </c>
      <c r="E118" s="5">
        <f t="shared" si="7"/>
        <v>0.40916666666666668</v>
      </c>
    </row>
    <row r="119" spans="1:5" x14ac:dyDescent="0.2">
      <c r="A119" s="2" t="s">
        <v>117</v>
      </c>
      <c r="B119" s="3"/>
      <c r="C119" s="4">
        <f>500</f>
        <v>500</v>
      </c>
      <c r="D119" s="4">
        <f t="shared" si="6"/>
        <v>-500</v>
      </c>
      <c r="E119" s="5">
        <f t="shared" si="7"/>
        <v>0</v>
      </c>
    </row>
    <row r="120" spans="1:5" x14ac:dyDescent="0.2">
      <c r="A120" s="2" t="s">
        <v>118</v>
      </c>
      <c r="B120" s="6">
        <f>((B117)+(B118))+(B119)</f>
        <v>2455</v>
      </c>
      <c r="C120" s="6">
        <f>((C117)+(C118))+(C119)</f>
        <v>6500</v>
      </c>
      <c r="D120" s="6">
        <f t="shared" si="6"/>
        <v>-4045</v>
      </c>
      <c r="E120" s="7">
        <f t="shared" si="7"/>
        <v>0.37769230769230772</v>
      </c>
    </row>
    <row r="121" spans="1:5" x14ac:dyDescent="0.2">
      <c r="A121" s="2" t="s">
        <v>119</v>
      </c>
      <c r="B121" s="3"/>
      <c r="C121" s="3"/>
      <c r="D121" s="4"/>
      <c r="E121" s="5" t="str">
        <f t="shared" si="7"/>
        <v/>
      </c>
    </row>
    <row r="122" spans="1:5" x14ac:dyDescent="0.2">
      <c r="A122" s="2" t="s">
        <v>120</v>
      </c>
      <c r="B122" s="3"/>
      <c r="C122" s="4">
        <f>150</f>
        <v>150</v>
      </c>
      <c r="D122" s="4">
        <f t="shared" si="6"/>
        <v>-150</v>
      </c>
      <c r="E122" s="5">
        <f t="shared" si="7"/>
        <v>0</v>
      </c>
    </row>
    <row r="123" spans="1:5" x14ac:dyDescent="0.2">
      <c r="A123" s="2" t="s">
        <v>121</v>
      </c>
      <c r="B123" s="3"/>
      <c r="C123" s="4">
        <f>1000</f>
        <v>1000</v>
      </c>
      <c r="D123" s="4">
        <f t="shared" si="6"/>
        <v>-1000</v>
      </c>
      <c r="E123" s="5">
        <f t="shared" si="7"/>
        <v>0</v>
      </c>
    </row>
    <row r="124" spans="1:5" x14ac:dyDescent="0.2">
      <c r="A124" s="2" t="s">
        <v>122</v>
      </c>
      <c r="B124" s="4">
        <f>500</f>
        <v>500</v>
      </c>
      <c r="C124" s="4">
        <f>500</f>
        <v>500</v>
      </c>
      <c r="D124" s="4">
        <f t="shared" si="6"/>
        <v>0</v>
      </c>
      <c r="E124" s="5">
        <f t="shared" si="7"/>
        <v>1</v>
      </c>
    </row>
    <row r="125" spans="1:5" x14ac:dyDescent="0.2">
      <c r="A125" s="2" t="s">
        <v>123</v>
      </c>
      <c r="B125" s="4">
        <f>1323</f>
        <v>1323</v>
      </c>
      <c r="C125" s="4">
        <f>1500</f>
        <v>1500</v>
      </c>
      <c r="D125" s="4">
        <f t="shared" si="6"/>
        <v>-177</v>
      </c>
      <c r="E125" s="5">
        <f t="shared" si="7"/>
        <v>0.88200000000000001</v>
      </c>
    </row>
    <row r="126" spans="1:5" x14ac:dyDescent="0.2">
      <c r="A126" s="2" t="s">
        <v>124</v>
      </c>
      <c r="B126" s="4">
        <f>-41.15</f>
        <v>-41.15</v>
      </c>
      <c r="C126" s="3"/>
      <c r="D126" s="4">
        <f t="shared" si="6"/>
        <v>-41.15</v>
      </c>
      <c r="E126" s="5" t="str">
        <f t="shared" si="7"/>
        <v/>
      </c>
    </row>
    <row r="127" spans="1:5" x14ac:dyDescent="0.2">
      <c r="A127" s="2" t="s">
        <v>125</v>
      </c>
      <c r="B127" s="6">
        <f>(((((B121)+(B122))+(B123))+(B124))+(B125))+(B126)</f>
        <v>1781.85</v>
      </c>
      <c r="C127" s="6">
        <f>(((((C121)+(C122))+(C123))+(C124))+(C125))+(C126)</f>
        <v>3150</v>
      </c>
      <c r="D127" s="6">
        <f t="shared" si="6"/>
        <v>-1368.15</v>
      </c>
      <c r="E127" s="7">
        <f t="shared" si="7"/>
        <v>0.56566666666666665</v>
      </c>
    </row>
    <row r="128" spans="1:5" x14ac:dyDescent="0.2">
      <c r="A128" s="2" t="s">
        <v>126</v>
      </c>
      <c r="B128" s="3"/>
      <c r="C128" s="3"/>
      <c r="D128" s="4"/>
      <c r="E128" s="5" t="str">
        <f t="shared" si="7"/>
        <v/>
      </c>
    </row>
    <row r="129" spans="1:5" x14ac:dyDescent="0.2">
      <c r="A129" s="2" t="s">
        <v>127</v>
      </c>
      <c r="B129" s="4">
        <f>510.29</f>
        <v>510.29</v>
      </c>
      <c r="C129" s="4">
        <f>1200</f>
        <v>1200</v>
      </c>
      <c r="D129" s="4">
        <f t="shared" si="6"/>
        <v>-689.71</v>
      </c>
      <c r="E129" s="5">
        <f t="shared" si="7"/>
        <v>0.42524166666666668</v>
      </c>
    </row>
    <row r="130" spans="1:5" x14ac:dyDescent="0.2">
      <c r="A130" s="2" t="s">
        <v>128</v>
      </c>
      <c r="B130" s="4">
        <f>719.64</f>
        <v>719.64</v>
      </c>
      <c r="C130" s="4">
        <f>750</f>
        <v>750</v>
      </c>
      <c r="D130" s="4">
        <f t="shared" si="6"/>
        <v>-30.360000000000014</v>
      </c>
      <c r="E130" s="5">
        <f t="shared" si="7"/>
        <v>0.95951999999999993</v>
      </c>
    </row>
    <row r="131" spans="1:5" x14ac:dyDescent="0.2">
      <c r="A131" s="2" t="s">
        <v>129</v>
      </c>
      <c r="B131" s="4">
        <f>21558.9</f>
        <v>21558.9</v>
      </c>
      <c r="C131" s="4">
        <f>42000</f>
        <v>42000</v>
      </c>
      <c r="D131" s="4">
        <f t="shared" si="6"/>
        <v>-20441.099999999999</v>
      </c>
      <c r="E131" s="5">
        <f t="shared" si="7"/>
        <v>0.51330714285714285</v>
      </c>
    </row>
    <row r="132" spans="1:5" x14ac:dyDescent="0.2">
      <c r="A132" s="2" t="s">
        <v>130</v>
      </c>
      <c r="B132" s="6">
        <f>(((B128)+(B129))+(B130))+(B131)</f>
        <v>22788.83</v>
      </c>
      <c r="C132" s="6">
        <f>(((C128)+(C129))+(C130))+(C131)</f>
        <v>43950</v>
      </c>
      <c r="D132" s="6">
        <f t="shared" si="6"/>
        <v>-21161.17</v>
      </c>
      <c r="E132" s="7">
        <f t="shared" si="7"/>
        <v>0.51851717861205915</v>
      </c>
    </row>
    <row r="133" spans="1:5" x14ac:dyDescent="0.2">
      <c r="A133" s="2" t="s">
        <v>131</v>
      </c>
      <c r="B133" s="4">
        <f>59.96</f>
        <v>59.96</v>
      </c>
      <c r="C133" s="4">
        <f>400</f>
        <v>400</v>
      </c>
      <c r="D133" s="4">
        <f t="shared" si="6"/>
        <v>-340.04</v>
      </c>
      <c r="E133" s="5">
        <f t="shared" si="7"/>
        <v>0.14990000000000001</v>
      </c>
    </row>
    <row r="134" spans="1:5" x14ac:dyDescent="0.2">
      <c r="A134" s="2" t="s">
        <v>132</v>
      </c>
      <c r="B134" s="3"/>
      <c r="C134" s="4">
        <f>1750</f>
        <v>1750</v>
      </c>
      <c r="D134" s="4">
        <f t="shared" si="6"/>
        <v>-1750</v>
      </c>
      <c r="E134" s="5">
        <f t="shared" si="7"/>
        <v>0</v>
      </c>
    </row>
    <row r="135" spans="1:5" x14ac:dyDescent="0.2">
      <c r="A135" s="2" t="s">
        <v>133</v>
      </c>
      <c r="B135" s="4">
        <f>217.52</f>
        <v>217.52</v>
      </c>
      <c r="C135" s="3"/>
      <c r="D135" s="4">
        <f t="shared" si="6"/>
        <v>217.52</v>
      </c>
      <c r="E135" s="5" t="str">
        <f t="shared" si="7"/>
        <v/>
      </c>
    </row>
    <row r="136" spans="1:5" x14ac:dyDescent="0.2">
      <c r="A136" s="2" t="s">
        <v>134</v>
      </c>
      <c r="B136" s="6">
        <f>(B134)+(B135)</f>
        <v>217.52</v>
      </c>
      <c r="C136" s="6">
        <f>(C134)+(C135)</f>
        <v>1750</v>
      </c>
      <c r="D136" s="6">
        <f t="shared" si="6"/>
        <v>-1532.48</v>
      </c>
      <c r="E136" s="7">
        <f t="shared" si="7"/>
        <v>0.12429714285714287</v>
      </c>
    </row>
    <row r="137" spans="1:5" x14ac:dyDescent="0.2">
      <c r="A137" s="2" t="s">
        <v>135</v>
      </c>
      <c r="B137" s="4">
        <f>-30.16</f>
        <v>-30.16</v>
      </c>
      <c r="C137" s="4">
        <f>1000</f>
        <v>1000</v>
      </c>
      <c r="D137" s="4">
        <f t="shared" si="6"/>
        <v>-1030.1600000000001</v>
      </c>
      <c r="E137" s="5">
        <f t="shared" si="7"/>
        <v>-3.0159999999999999E-2</v>
      </c>
    </row>
    <row r="138" spans="1:5" x14ac:dyDescent="0.2">
      <c r="A138" s="2" t="s">
        <v>136</v>
      </c>
      <c r="B138" s="4">
        <f>-299</f>
        <v>-299</v>
      </c>
      <c r="C138" s="3"/>
      <c r="D138" s="4">
        <f t="shared" si="6"/>
        <v>-299</v>
      </c>
      <c r="E138" s="5" t="str">
        <f t="shared" si="7"/>
        <v/>
      </c>
    </row>
    <row r="139" spans="1:5" x14ac:dyDescent="0.2">
      <c r="A139" s="2" t="s">
        <v>137</v>
      </c>
      <c r="B139" s="6">
        <f>(B137)+(B138)</f>
        <v>-329.16</v>
      </c>
      <c r="C139" s="6">
        <f>(C137)+(C138)</f>
        <v>1000</v>
      </c>
      <c r="D139" s="6">
        <f t="shared" si="6"/>
        <v>-1329.16</v>
      </c>
      <c r="E139" s="7">
        <f t="shared" si="7"/>
        <v>-0.32916000000000001</v>
      </c>
    </row>
    <row r="140" spans="1:5" x14ac:dyDescent="0.2">
      <c r="A140" s="2" t="s">
        <v>138</v>
      </c>
      <c r="B140" s="6">
        <f>((B133)+(B136))+(B139)</f>
        <v>-51.680000000000007</v>
      </c>
      <c r="C140" s="6">
        <f>((C133)+(C136))+(C139)</f>
        <v>3150</v>
      </c>
      <c r="D140" s="6">
        <f t="shared" si="6"/>
        <v>-3201.68</v>
      </c>
      <c r="E140" s="7">
        <f t="shared" si="7"/>
        <v>-1.6406349206349209E-2</v>
      </c>
    </row>
    <row r="141" spans="1:5" x14ac:dyDescent="0.2">
      <c r="A141" s="2" t="s">
        <v>139</v>
      </c>
      <c r="B141" s="6">
        <f>(((((((((B63)+(B89))+(B93))+(B103))+(B107))+(B116))+(B120))+(B127))+(B132))+(B140)</f>
        <v>276729.76999999996</v>
      </c>
      <c r="C141" s="6">
        <f>(((((((((C63)+(C89))+(C93))+(C103))+(C107))+(C116))+(C120))+(C127))+(C132))+(C140)</f>
        <v>343430.56</v>
      </c>
      <c r="D141" s="6">
        <f t="shared" si="6"/>
        <v>-66700.790000000037</v>
      </c>
      <c r="E141" s="7">
        <f t="shared" si="7"/>
        <v>0.80578085421402212</v>
      </c>
    </row>
    <row r="142" spans="1:5" x14ac:dyDescent="0.2">
      <c r="A142" s="2" t="s">
        <v>140</v>
      </c>
      <c r="B142" s="6">
        <f>(B50)-(B141)</f>
        <v>56209.330000000075</v>
      </c>
      <c r="C142" s="6">
        <f>(C50)-(C141)</f>
        <v>-41010.559999999998</v>
      </c>
      <c r="D142" s="6">
        <f t="shared" si="6"/>
        <v>97219.890000000072</v>
      </c>
      <c r="E142" s="7">
        <f t="shared" si="7"/>
        <v>-1.3706062536088286</v>
      </c>
    </row>
    <row r="143" spans="1:5" x14ac:dyDescent="0.2">
      <c r="A143" s="2" t="s">
        <v>141</v>
      </c>
      <c r="B143" s="8">
        <f>(B142)+(0)</f>
        <v>56209.330000000075</v>
      </c>
      <c r="C143" s="8">
        <f>(C142)+(0)</f>
        <v>-41010.559999999998</v>
      </c>
      <c r="D143" s="8">
        <f t="shared" si="6"/>
        <v>97219.890000000072</v>
      </c>
      <c r="E143" s="9">
        <f t="shared" si="7"/>
        <v>-1.3706062536088286</v>
      </c>
    </row>
    <row r="144" spans="1:5" x14ac:dyDescent="0.2">
      <c r="A144" s="2"/>
      <c r="B144" s="3"/>
      <c r="C144" s="3"/>
      <c r="D144" s="3"/>
      <c r="E144" s="3"/>
    </row>
    <row r="147" spans="1:5" x14ac:dyDescent="0.2">
      <c r="A147" s="13" t="s">
        <v>142</v>
      </c>
      <c r="B147" s="14"/>
      <c r="C147" s="14"/>
      <c r="D147" s="14"/>
      <c r="E147" s="14"/>
    </row>
  </sheetData>
  <mergeCells count="5">
    <mergeCell ref="B5:E5"/>
    <mergeCell ref="A147:E147"/>
    <mergeCell ref="A1:E1"/>
    <mergeCell ref="A2:E2"/>
    <mergeCell ref="A3:E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vs. Actuals</vt:lpstr>
      <vt:lpstr>'Budget vs. Actuals'!Print_Area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Kelly Lass</cp:lastModifiedBy>
  <dcterms:created xsi:type="dcterms:W3CDTF">2020-03-10T11:41:58Z</dcterms:created>
  <dcterms:modified xsi:type="dcterms:W3CDTF">2020-03-23T15:25:45Z</dcterms:modified>
</cp:coreProperties>
</file>