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ellylass/Box/Nardone Consulting Group, Inc./GSCA/Financial/2020 - 2021/Budget/"/>
    </mc:Choice>
  </mc:AlternateContent>
  <xr:revisionPtr revIDLastSave="0" documentId="13_ncr:1_{649DB1A2-C1FF-3C45-8BD3-F29D74F22814}" xr6:coauthVersionLast="45" xr6:coauthVersionMax="45" xr10:uidLastSave="{00000000-0000-0000-0000-000000000000}"/>
  <bookViews>
    <workbookView xWindow="0" yWindow="460" windowWidth="38400" windowHeight="20020" tabRatio="500" xr2:uid="{00000000-000D-0000-FFFF-FFFF00000000}"/>
  </bookViews>
  <sheets>
    <sheet name="Proposed Budget 2020-2021" sheetId="5" r:id="rId1"/>
    <sheet name="2020 Savannah REVISED" sheetId="7" r:id="rId2"/>
    <sheet name="2020 Savannah OLD" sheetId="3" r:id="rId3"/>
    <sheet name="F&amp;B Broke Down" sheetId="4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6" i="7" l="1"/>
  <c r="F103" i="7"/>
  <c r="F101" i="7"/>
  <c r="F99" i="7"/>
  <c r="D98" i="7"/>
  <c r="E98" i="7" s="1"/>
  <c r="F93" i="7" s="1"/>
  <c r="F91" i="7"/>
  <c r="F89" i="7"/>
  <c r="E88" i="7"/>
  <c r="F85" i="7" s="1"/>
  <c r="E84" i="7"/>
  <c r="E83" i="7"/>
  <c r="E82" i="7"/>
  <c r="F81" i="7" s="1"/>
  <c r="F79" i="7"/>
  <c r="J78" i="7"/>
  <c r="F76" i="7"/>
  <c r="F74" i="7"/>
  <c r="E73" i="7"/>
  <c r="E72" i="7"/>
  <c r="F71" i="7" s="1"/>
  <c r="D70" i="7"/>
  <c r="C70" i="7"/>
  <c r="C66" i="7"/>
  <c r="D64" i="7"/>
  <c r="C64" i="7"/>
  <c r="C62" i="7"/>
  <c r="D59" i="7"/>
  <c r="C59" i="7"/>
  <c r="E56" i="7"/>
  <c r="E54" i="7"/>
  <c r="D54" i="7"/>
  <c r="C54" i="7"/>
  <c r="E49" i="7"/>
  <c r="F47" i="7" s="1"/>
  <c r="F44" i="7"/>
  <c r="F41" i="7"/>
  <c r="C37" i="7"/>
  <c r="E36" i="7"/>
  <c r="E35" i="7"/>
  <c r="E33" i="7"/>
  <c r="E32" i="7"/>
  <c r="E29" i="7"/>
  <c r="C19" i="7"/>
  <c r="E18" i="7"/>
  <c r="E16" i="7"/>
  <c r="E15" i="7"/>
  <c r="E14" i="7"/>
  <c r="E12" i="7"/>
  <c r="E11" i="7"/>
  <c r="E10" i="7"/>
  <c r="E8" i="7"/>
  <c r="E7" i="7"/>
  <c r="E6" i="7"/>
  <c r="D31" i="7" l="1"/>
  <c r="F19" i="7"/>
  <c r="F38" i="7" l="1"/>
  <c r="F106" i="7" s="1"/>
  <c r="F173" i="5" l="1"/>
  <c r="D173" i="5"/>
  <c r="C173" i="5"/>
  <c r="J171" i="5"/>
  <c r="E171" i="5"/>
  <c r="D171" i="5"/>
  <c r="C171" i="5"/>
  <c r="B171" i="5"/>
  <c r="I170" i="5"/>
  <c r="H170" i="5"/>
  <c r="G170" i="5"/>
  <c r="F170" i="5"/>
  <c r="I169" i="5"/>
  <c r="I171" i="5" s="1"/>
  <c r="H169" i="5"/>
  <c r="H171" i="5" s="1"/>
  <c r="G169" i="5"/>
  <c r="G171" i="5" s="1"/>
  <c r="F169" i="5"/>
  <c r="F171" i="5" s="1"/>
  <c r="H168" i="5"/>
  <c r="F168" i="5"/>
  <c r="E168" i="5"/>
  <c r="J167" i="5"/>
  <c r="I167" i="5"/>
  <c r="E166" i="5"/>
  <c r="D166" i="5"/>
  <c r="B166" i="5"/>
  <c r="D165" i="5"/>
  <c r="E164" i="5"/>
  <c r="D164" i="5"/>
  <c r="B164" i="5"/>
  <c r="D163" i="5"/>
  <c r="D162" i="5"/>
  <c r="C162" i="5"/>
  <c r="H161" i="5"/>
  <c r="G161" i="5"/>
  <c r="F161" i="5"/>
  <c r="C161" i="5"/>
  <c r="G160" i="5"/>
  <c r="F160" i="5"/>
  <c r="F167" i="5" s="1"/>
  <c r="E160" i="5"/>
  <c r="D160" i="5"/>
  <c r="C160" i="5"/>
  <c r="B160" i="5"/>
  <c r="H159" i="5"/>
  <c r="G159" i="5"/>
  <c r="F159" i="5"/>
  <c r="G158" i="5"/>
  <c r="E158" i="5"/>
  <c r="C158" i="5"/>
  <c r="H157" i="5"/>
  <c r="G157" i="5"/>
  <c r="F157" i="5"/>
  <c r="C157" i="5"/>
  <c r="H156" i="5"/>
  <c r="G156" i="5"/>
  <c r="E156" i="5"/>
  <c r="E167" i="5" s="1"/>
  <c r="E172" i="5" s="1"/>
  <c r="D156" i="5"/>
  <c r="C156" i="5"/>
  <c r="H155" i="5"/>
  <c r="I153" i="5"/>
  <c r="C153" i="5"/>
  <c r="J152" i="5"/>
  <c r="B152" i="5"/>
  <c r="C151" i="5"/>
  <c r="B151" i="5"/>
  <c r="I150" i="5"/>
  <c r="H150" i="5"/>
  <c r="G150" i="5"/>
  <c r="F150" i="5"/>
  <c r="E150" i="5"/>
  <c r="D150" i="5"/>
  <c r="C150" i="5"/>
  <c r="B150" i="5"/>
  <c r="I149" i="5"/>
  <c r="G149" i="5"/>
  <c r="E149" i="5"/>
  <c r="D149" i="5"/>
  <c r="I148" i="5"/>
  <c r="H148" i="5"/>
  <c r="H152" i="5" s="1"/>
  <c r="G148" i="5"/>
  <c r="F148" i="5"/>
  <c r="F152" i="5" s="1"/>
  <c r="E148" i="5"/>
  <c r="D148" i="5"/>
  <c r="C147" i="5"/>
  <c r="B147" i="5"/>
  <c r="J146" i="5"/>
  <c r="I146" i="5"/>
  <c r="I145" i="5"/>
  <c r="H145" i="5"/>
  <c r="I144" i="5"/>
  <c r="H144" i="5"/>
  <c r="G144" i="5"/>
  <c r="F144" i="5"/>
  <c r="E144" i="5"/>
  <c r="D144" i="5"/>
  <c r="D146" i="5" s="1"/>
  <c r="C144" i="5"/>
  <c r="B144" i="5"/>
  <c r="I143" i="5"/>
  <c r="H143" i="5"/>
  <c r="G143" i="5"/>
  <c r="F143" i="5"/>
  <c r="F146" i="5" s="1"/>
  <c r="E143" i="5"/>
  <c r="H142" i="5"/>
  <c r="G142" i="5"/>
  <c r="F142" i="5"/>
  <c r="C142" i="5"/>
  <c r="B142" i="5"/>
  <c r="B146" i="5" s="1"/>
  <c r="G141" i="5"/>
  <c r="E141" i="5"/>
  <c r="H140" i="5"/>
  <c r="J139" i="5"/>
  <c r="G138" i="5"/>
  <c r="F138" i="5"/>
  <c r="E138" i="5"/>
  <c r="B138" i="5"/>
  <c r="I137" i="5"/>
  <c r="I139" i="5" s="1"/>
  <c r="H137" i="5"/>
  <c r="H139" i="5" s="1"/>
  <c r="G137" i="5"/>
  <c r="F137" i="5"/>
  <c r="F139" i="5" s="1"/>
  <c r="E137" i="5"/>
  <c r="E139" i="5" s="1"/>
  <c r="D137" i="5"/>
  <c r="D139" i="5" s="1"/>
  <c r="C137" i="5"/>
  <c r="C139" i="5" s="1"/>
  <c r="B137" i="5"/>
  <c r="B139" i="5" s="1"/>
  <c r="C134" i="5"/>
  <c r="J133" i="5"/>
  <c r="J135" i="5" s="1"/>
  <c r="I133" i="5"/>
  <c r="H132" i="5"/>
  <c r="G132" i="5"/>
  <c r="F132" i="5"/>
  <c r="E132" i="5"/>
  <c r="D132" i="5"/>
  <c r="D133" i="5" s="1"/>
  <c r="C132" i="5"/>
  <c r="B132" i="5"/>
  <c r="H131" i="5"/>
  <c r="G131" i="5"/>
  <c r="F131" i="5"/>
  <c r="E131" i="5"/>
  <c r="C131" i="5"/>
  <c r="B131" i="5"/>
  <c r="H130" i="5"/>
  <c r="G130" i="5"/>
  <c r="F130" i="5"/>
  <c r="E130" i="5"/>
  <c r="D130" i="5"/>
  <c r="C130" i="5"/>
  <c r="C133" i="5" s="1"/>
  <c r="B130" i="5"/>
  <c r="I128" i="5"/>
  <c r="I135" i="5" s="1"/>
  <c r="H128" i="5"/>
  <c r="F128" i="5"/>
  <c r="E128" i="5"/>
  <c r="D128" i="5"/>
  <c r="C128" i="5"/>
  <c r="B128" i="5"/>
  <c r="H127" i="5"/>
  <c r="G127" i="5"/>
  <c r="F127" i="5"/>
  <c r="D127" i="5"/>
  <c r="C127" i="5"/>
  <c r="B127" i="5"/>
  <c r="H126" i="5"/>
  <c r="H125" i="5"/>
  <c r="J124" i="5"/>
  <c r="E124" i="5"/>
  <c r="I123" i="5"/>
  <c r="H123" i="5"/>
  <c r="H124" i="5" s="1"/>
  <c r="F123" i="5"/>
  <c r="E123" i="5"/>
  <c r="D123" i="5"/>
  <c r="C123" i="5"/>
  <c r="C124" i="5" s="1"/>
  <c r="B123" i="5"/>
  <c r="I122" i="5"/>
  <c r="G122" i="5"/>
  <c r="G124" i="5" s="1"/>
  <c r="F122" i="5"/>
  <c r="F124" i="5" s="1"/>
  <c r="D122" i="5"/>
  <c r="C122" i="5"/>
  <c r="B122" i="5"/>
  <c r="J120" i="5"/>
  <c r="I119" i="5"/>
  <c r="E119" i="5"/>
  <c r="D119" i="5"/>
  <c r="E118" i="5"/>
  <c r="D118" i="5"/>
  <c r="C118" i="5"/>
  <c r="B118" i="5"/>
  <c r="H117" i="5"/>
  <c r="G117" i="5"/>
  <c r="G120" i="5" s="1"/>
  <c r="F117" i="5"/>
  <c r="E117" i="5"/>
  <c r="D117" i="5"/>
  <c r="C117" i="5"/>
  <c r="B117" i="5"/>
  <c r="H116" i="5"/>
  <c r="F116" i="5"/>
  <c r="D116" i="5"/>
  <c r="C116" i="5"/>
  <c r="B116" i="5"/>
  <c r="I115" i="5"/>
  <c r="H115" i="5"/>
  <c r="F115" i="5"/>
  <c r="E115" i="5"/>
  <c r="D115" i="5"/>
  <c r="C115" i="5"/>
  <c r="B115" i="5"/>
  <c r="I114" i="5"/>
  <c r="H114" i="5"/>
  <c r="F114" i="5"/>
  <c r="E114" i="5"/>
  <c r="D114" i="5"/>
  <c r="C114" i="5"/>
  <c r="B114" i="5"/>
  <c r="I113" i="5"/>
  <c r="H113" i="5"/>
  <c r="F113" i="5"/>
  <c r="E113" i="5"/>
  <c r="D113" i="5"/>
  <c r="C113" i="5"/>
  <c r="B113" i="5"/>
  <c r="I112" i="5"/>
  <c r="H112" i="5"/>
  <c r="F112" i="5"/>
  <c r="E112" i="5"/>
  <c r="D112" i="5"/>
  <c r="C112" i="5"/>
  <c r="B112" i="5"/>
  <c r="H111" i="5"/>
  <c r="F111" i="5"/>
  <c r="E111" i="5"/>
  <c r="D111" i="5"/>
  <c r="C111" i="5"/>
  <c r="B111" i="5"/>
  <c r="J109" i="5"/>
  <c r="G108" i="5"/>
  <c r="F108" i="5"/>
  <c r="F109" i="5" s="1"/>
  <c r="C107" i="5"/>
  <c r="B107" i="5"/>
  <c r="I106" i="5"/>
  <c r="I109" i="5" s="1"/>
  <c r="H106" i="5"/>
  <c r="H109" i="5" s="1"/>
  <c r="G106" i="5"/>
  <c r="F106" i="5"/>
  <c r="E106" i="5"/>
  <c r="E109" i="5" s="1"/>
  <c r="D106" i="5"/>
  <c r="D109" i="5" s="1"/>
  <c r="C106" i="5"/>
  <c r="C109" i="5" s="1"/>
  <c r="B106" i="5"/>
  <c r="B109" i="5" s="1"/>
  <c r="I103" i="5"/>
  <c r="H103" i="5"/>
  <c r="G103" i="5"/>
  <c r="F103" i="5"/>
  <c r="I102" i="5"/>
  <c r="H102" i="5"/>
  <c r="G102" i="5"/>
  <c r="F102" i="5"/>
  <c r="I101" i="5"/>
  <c r="H101" i="5"/>
  <c r="G101" i="5"/>
  <c r="F101" i="5"/>
  <c r="E101" i="5"/>
  <c r="J100" i="5"/>
  <c r="C100" i="5"/>
  <c r="F99" i="5"/>
  <c r="E99" i="5"/>
  <c r="I98" i="5"/>
  <c r="H98" i="5"/>
  <c r="G98" i="5"/>
  <c r="E98" i="5"/>
  <c r="I97" i="5"/>
  <c r="H97" i="5"/>
  <c r="G97" i="5"/>
  <c r="F97" i="5"/>
  <c r="E97" i="5"/>
  <c r="D97" i="5"/>
  <c r="D100" i="5" s="1"/>
  <c r="C97" i="5"/>
  <c r="B97" i="5"/>
  <c r="B100" i="5" s="1"/>
  <c r="I96" i="5"/>
  <c r="H96" i="5"/>
  <c r="G96" i="5"/>
  <c r="G100" i="5" s="1"/>
  <c r="I95" i="5"/>
  <c r="H95" i="5"/>
  <c r="G95" i="5"/>
  <c r="F95" i="5"/>
  <c r="E95" i="5"/>
  <c r="H94" i="5"/>
  <c r="G94" i="5"/>
  <c r="F94" i="5"/>
  <c r="E94" i="5"/>
  <c r="D94" i="5"/>
  <c r="C94" i="5"/>
  <c r="B94" i="5"/>
  <c r="J93" i="5"/>
  <c r="C92" i="5"/>
  <c r="I91" i="5"/>
  <c r="H91" i="5"/>
  <c r="G91" i="5"/>
  <c r="F91" i="5"/>
  <c r="E91" i="5"/>
  <c r="D91" i="5"/>
  <c r="C91" i="5"/>
  <c r="B91" i="5"/>
  <c r="G90" i="5"/>
  <c r="F90" i="5"/>
  <c r="D90" i="5"/>
  <c r="C90" i="5"/>
  <c r="I89" i="5"/>
  <c r="H89" i="5"/>
  <c r="G89" i="5"/>
  <c r="F89" i="5"/>
  <c r="E89" i="5"/>
  <c r="D89" i="5"/>
  <c r="C89" i="5"/>
  <c r="B89" i="5"/>
  <c r="H88" i="5"/>
  <c r="G88" i="5"/>
  <c r="D88" i="5"/>
  <c r="C88" i="5"/>
  <c r="J87" i="5"/>
  <c r="F87" i="5"/>
  <c r="I86" i="5"/>
  <c r="H86" i="5"/>
  <c r="G86" i="5"/>
  <c r="F86" i="5"/>
  <c r="E86" i="5"/>
  <c r="I85" i="5"/>
  <c r="I87" i="5" s="1"/>
  <c r="H85" i="5"/>
  <c r="H87" i="5" s="1"/>
  <c r="G85" i="5"/>
  <c r="F85" i="5"/>
  <c r="E85" i="5"/>
  <c r="D85" i="5"/>
  <c r="D87" i="5" s="1"/>
  <c r="C85" i="5"/>
  <c r="C87" i="5" s="1"/>
  <c r="B85" i="5"/>
  <c r="B87" i="5" s="1"/>
  <c r="I84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I82" i="5"/>
  <c r="H82" i="5"/>
  <c r="G82" i="5"/>
  <c r="F82" i="5"/>
  <c r="E82" i="5"/>
  <c r="D82" i="5"/>
  <c r="C82" i="5"/>
  <c r="B82" i="5"/>
  <c r="I81" i="5"/>
  <c r="H81" i="5"/>
  <c r="G81" i="5"/>
  <c r="F81" i="5"/>
  <c r="E81" i="5"/>
  <c r="D81" i="5"/>
  <c r="C81" i="5"/>
  <c r="B81" i="5"/>
  <c r="I80" i="5"/>
  <c r="H80" i="5"/>
  <c r="G80" i="5"/>
  <c r="F80" i="5"/>
  <c r="E80" i="5"/>
  <c r="D80" i="5"/>
  <c r="C80" i="5"/>
  <c r="B80" i="5"/>
  <c r="I79" i="5"/>
  <c r="H79" i="5"/>
  <c r="G79" i="5"/>
  <c r="F79" i="5"/>
  <c r="E79" i="5"/>
  <c r="D79" i="5"/>
  <c r="C79" i="5"/>
  <c r="B79" i="5"/>
  <c r="E78" i="5"/>
  <c r="D78" i="5"/>
  <c r="C78" i="5"/>
  <c r="I77" i="5"/>
  <c r="H77" i="5"/>
  <c r="G77" i="5"/>
  <c r="F77" i="5"/>
  <c r="E77" i="5"/>
  <c r="D77" i="5"/>
  <c r="C77" i="5"/>
  <c r="B77" i="5"/>
  <c r="I76" i="5"/>
  <c r="H76" i="5"/>
  <c r="G76" i="5"/>
  <c r="F76" i="5"/>
  <c r="E76" i="5"/>
  <c r="D76" i="5"/>
  <c r="C76" i="5"/>
  <c r="B76" i="5"/>
  <c r="J74" i="5"/>
  <c r="I73" i="5"/>
  <c r="H73" i="5"/>
  <c r="G73" i="5"/>
  <c r="F73" i="5"/>
  <c r="E73" i="5"/>
  <c r="D73" i="5"/>
  <c r="G72" i="5"/>
  <c r="F72" i="5"/>
  <c r="E72" i="5"/>
  <c r="D72" i="5"/>
  <c r="I71" i="5"/>
  <c r="H71" i="5"/>
  <c r="G71" i="5"/>
  <c r="F71" i="5"/>
  <c r="E71" i="5"/>
  <c r="D71" i="5"/>
  <c r="C71" i="5"/>
  <c r="B71" i="5"/>
  <c r="I70" i="5"/>
  <c r="H70" i="5"/>
  <c r="G70" i="5"/>
  <c r="F70" i="5"/>
  <c r="E70" i="5"/>
  <c r="D70" i="5"/>
  <c r="C70" i="5"/>
  <c r="B70" i="5"/>
  <c r="I69" i="5"/>
  <c r="H69" i="5"/>
  <c r="G69" i="5"/>
  <c r="F69" i="5"/>
  <c r="E69" i="5"/>
  <c r="D69" i="5"/>
  <c r="C69" i="5"/>
  <c r="B69" i="5"/>
  <c r="I68" i="5"/>
  <c r="H68" i="5"/>
  <c r="G68" i="5"/>
  <c r="F68" i="5"/>
  <c r="E68" i="5"/>
  <c r="D68" i="5"/>
  <c r="C68" i="5"/>
  <c r="B68" i="5"/>
  <c r="I67" i="5"/>
  <c r="H67" i="5"/>
  <c r="F67" i="5"/>
  <c r="C67" i="5"/>
  <c r="I66" i="5"/>
  <c r="H66" i="5"/>
  <c r="G66" i="5"/>
  <c r="F66" i="5"/>
  <c r="E66" i="5"/>
  <c r="D66" i="5"/>
  <c r="C66" i="5"/>
  <c r="B66" i="5"/>
  <c r="I65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C59" i="5"/>
  <c r="I58" i="5"/>
  <c r="H58" i="5"/>
  <c r="G58" i="5"/>
  <c r="F58" i="5"/>
  <c r="E58" i="5"/>
  <c r="D58" i="5"/>
  <c r="C58" i="5"/>
  <c r="B58" i="5"/>
  <c r="J57" i="5"/>
  <c r="I56" i="5"/>
  <c r="H56" i="5"/>
  <c r="G56" i="5"/>
  <c r="F56" i="5"/>
  <c r="E56" i="5"/>
  <c r="D56" i="5"/>
  <c r="C56" i="5"/>
  <c r="B56" i="5"/>
  <c r="I55" i="5"/>
  <c r="I57" i="5" s="1"/>
  <c r="H55" i="5"/>
  <c r="H57" i="5" s="1"/>
  <c r="G55" i="5"/>
  <c r="F55" i="5"/>
  <c r="F57" i="5" s="1"/>
  <c r="E55" i="5"/>
  <c r="E57" i="5" s="1"/>
  <c r="D55" i="5"/>
  <c r="D57" i="5" s="1"/>
  <c r="C55" i="5"/>
  <c r="C57" i="5" s="1"/>
  <c r="B55" i="5"/>
  <c r="B57" i="5" s="1"/>
  <c r="C53" i="5"/>
  <c r="J51" i="5"/>
  <c r="J52" i="5" s="1"/>
  <c r="I51" i="5"/>
  <c r="H51" i="5"/>
  <c r="G51" i="5"/>
  <c r="F51" i="5"/>
  <c r="E51" i="5"/>
  <c r="D51" i="5"/>
  <c r="C51" i="5"/>
  <c r="B51" i="5"/>
  <c r="D50" i="5"/>
  <c r="H48" i="5"/>
  <c r="I47" i="5"/>
  <c r="H47" i="5"/>
  <c r="G47" i="5"/>
  <c r="F47" i="5"/>
  <c r="E47" i="5"/>
  <c r="D47" i="5"/>
  <c r="C47" i="5"/>
  <c r="B47" i="5"/>
  <c r="D46" i="5"/>
  <c r="I45" i="5"/>
  <c r="I52" i="5" s="1"/>
  <c r="H45" i="5"/>
  <c r="G45" i="5"/>
  <c r="G52" i="5" s="1"/>
  <c r="F45" i="5"/>
  <c r="E45" i="5"/>
  <c r="D45" i="5"/>
  <c r="C45" i="5"/>
  <c r="B45" i="5"/>
  <c r="H44" i="5"/>
  <c r="D44" i="5"/>
  <c r="B44" i="5"/>
  <c r="J41" i="5"/>
  <c r="H40" i="5"/>
  <c r="G40" i="5"/>
  <c r="H39" i="5"/>
  <c r="G39" i="5"/>
  <c r="F39" i="5"/>
  <c r="D39" i="5"/>
  <c r="C39" i="5"/>
  <c r="B39" i="5"/>
  <c r="I38" i="5"/>
  <c r="I41" i="5" s="1"/>
  <c r="H38" i="5"/>
  <c r="G38" i="5"/>
  <c r="F38" i="5"/>
  <c r="E38" i="5"/>
  <c r="E41" i="5" s="1"/>
  <c r="D38" i="5"/>
  <c r="D41" i="5" s="1"/>
  <c r="C38" i="5"/>
  <c r="C41" i="5" s="1"/>
  <c r="B38" i="5"/>
  <c r="B41" i="5" s="1"/>
  <c r="H37" i="5"/>
  <c r="J36" i="5"/>
  <c r="I35" i="5"/>
  <c r="H35" i="5"/>
  <c r="G35" i="5"/>
  <c r="F35" i="5"/>
  <c r="I34" i="5"/>
  <c r="H34" i="5"/>
  <c r="G34" i="5"/>
  <c r="E34" i="5"/>
  <c r="I33" i="5"/>
  <c r="G33" i="5"/>
  <c r="F33" i="5"/>
  <c r="E33" i="5"/>
  <c r="D33" i="5"/>
  <c r="C33" i="5"/>
  <c r="B33" i="5"/>
  <c r="I32" i="5"/>
  <c r="H32" i="5"/>
  <c r="G32" i="5"/>
  <c r="F32" i="5"/>
  <c r="E32" i="5"/>
  <c r="D32" i="5"/>
  <c r="B32" i="5"/>
  <c r="I31" i="5"/>
  <c r="H31" i="5"/>
  <c r="G31" i="5"/>
  <c r="F31" i="5"/>
  <c r="E31" i="5"/>
  <c r="D31" i="5"/>
  <c r="C31" i="5"/>
  <c r="B31" i="5"/>
  <c r="H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B36" i="5" s="1"/>
  <c r="D28" i="5"/>
  <c r="C28" i="5"/>
  <c r="I27" i="5"/>
  <c r="H27" i="5"/>
  <c r="G27" i="5"/>
  <c r="F27" i="5"/>
  <c r="E27" i="5"/>
  <c r="D27" i="5"/>
  <c r="D36" i="5" s="1"/>
  <c r="C27" i="5"/>
  <c r="B27" i="5"/>
  <c r="I24" i="5"/>
  <c r="J23" i="5"/>
  <c r="I22" i="5"/>
  <c r="H22" i="5"/>
  <c r="G22" i="5"/>
  <c r="F22" i="5"/>
  <c r="E22" i="5"/>
  <c r="D22" i="5"/>
  <c r="C22" i="5"/>
  <c r="B22" i="5"/>
  <c r="I21" i="5"/>
  <c r="H21" i="5"/>
  <c r="G21" i="5"/>
  <c r="F21" i="5"/>
  <c r="E21" i="5"/>
  <c r="D21" i="5"/>
  <c r="C21" i="5"/>
  <c r="B21" i="5"/>
  <c r="I20" i="5"/>
  <c r="I23" i="5" s="1"/>
  <c r="H20" i="5"/>
  <c r="H23" i="5" s="1"/>
  <c r="G20" i="5"/>
  <c r="G23" i="5" s="1"/>
  <c r="F20" i="5"/>
  <c r="F23" i="5" s="1"/>
  <c r="E20" i="5"/>
  <c r="E23" i="5" s="1"/>
  <c r="D20" i="5"/>
  <c r="D23" i="5" s="1"/>
  <c r="C20" i="5"/>
  <c r="C23" i="5" s="1"/>
  <c r="B20" i="5"/>
  <c r="B23" i="5" s="1"/>
  <c r="J18" i="5"/>
  <c r="I17" i="5"/>
  <c r="H17" i="5"/>
  <c r="G17" i="5"/>
  <c r="F17" i="5"/>
  <c r="E17" i="5"/>
  <c r="D17" i="5"/>
  <c r="C17" i="5"/>
  <c r="B17" i="5"/>
  <c r="I16" i="5"/>
  <c r="H16" i="5"/>
  <c r="G16" i="5"/>
  <c r="F16" i="5"/>
  <c r="E16" i="5"/>
  <c r="D16" i="5"/>
  <c r="C16" i="5"/>
  <c r="B16" i="5"/>
  <c r="I15" i="5"/>
  <c r="I18" i="5" s="1"/>
  <c r="H15" i="5"/>
  <c r="H18" i="5" s="1"/>
  <c r="G15" i="5"/>
  <c r="G18" i="5" s="1"/>
  <c r="F15" i="5"/>
  <c r="F18" i="5" s="1"/>
  <c r="E15" i="5"/>
  <c r="E18" i="5" s="1"/>
  <c r="D15" i="5"/>
  <c r="D18" i="5" s="1"/>
  <c r="C15" i="5"/>
  <c r="C18" i="5" s="1"/>
  <c r="B15" i="5"/>
  <c r="B18" i="5" s="1"/>
  <c r="J13" i="5"/>
  <c r="I12" i="5"/>
  <c r="H12" i="5"/>
  <c r="G12" i="5"/>
  <c r="F12" i="5"/>
  <c r="E12" i="5"/>
  <c r="D12" i="5"/>
  <c r="C12" i="5"/>
  <c r="B12" i="5"/>
  <c r="I11" i="5"/>
  <c r="H11" i="5"/>
  <c r="G11" i="5"/>
  <c r="F11" i="5"/>
  <c r="E11" i="5"/>
  <c r="D11" i="5"/>
  <c r="C11" i="5"/>
  <c r="B11" i="5"/>
  <c r="I10" i="5"/>
  <c r="I13" i="5" s="1"/>
  <c r="H10" i="5"/>
  <c r="G10" i="5"/>
  <c r="G13" i="5" s="1"/>
  <c r="F10" i="5"/>
  <c r="F13" i="5" s="1"/>
  <c r="E10" i="5"/>
  <c r="E13" i="5" s="1"/>
  <c r="D10" i="5"/>
  <c r="D13" i="5" s="1"/>
  <c r="C10" i="5"/>
  <c r="C13" i="5" s="1"/>
  <c r="B10" i="5"/>
  <c r="B13" i="5" s="1"/>
  <c r="B25" i="5" s="1"/>
  <c r="G139" i="5" l="1"/>
  <c r="D120" i="5"/>
  <c r="D167" i="5"/>
  <c r="D172" i="5" s="1"/>
  <c r="I25" i="5"/>
  <c r="E36" i="5"/>
  <c r="F36" i="5"/>
  <c r="D93" i="5"/>
  <c r="D104" i="5" s="1"/>
  <c r="D174" i="5" s="1"/>
  <c r="E146" i="5"/>
  <c r="C25" i="5"/>
  <c r="G36" i="5"/>
  <c r="D74" i="5"/>
  <c r="H74" i="5"/>
  <c r="G146" i="5"/>
  <c r="E74" i="5"/>
  <c r="G87" i="5"/>
  <c r="E52" i="5"/>
  <c r="B52" i="5"/>
  <c r="F74" i="5"/>
  <c r="B74" i="5"/>
  <c r="E100" i="5"/>
  <c r="E133" i="5"/>
  <c r="E135" i="5" s="1"/>
  <c r="C146" i="5"/>
  <c r="F52" i="5"/>
  <c r="C52" i="5"/>
  <c r="G74" i="5"/>
  <c r="C74" i="5"/>
  <c r="F100" i="5"/>
  <c r="I124" i="5"/>
  <c r="H13" i="5"/>
  <c r="H25" i="5" s="1"/>
  <c r="D135" i="5"/>
  <c r="G109" i="5"/>
  <c r="H120" i="5"/>
  <c r="H133" i="5"/>
  <c r="I172" i="5"/>
  <c r="H36" i="5"/>
  <c r="H52" i="5"/>
  <c r="G93" i="5"/>
  <c r="I100" i="5"/>
  <c r="H146" i="5"/>
  <c r="C152" i="5"/>
  <c r="E152" i="5"/>
  <c r="J172" i="5"/>
  <c r="J174" i="5" s="1"/>
  <c r="I120" i="5"/>
  <c r="G133" i="5"/>
  <c r="D52" i="5"/>
  <c r="I36" i="5"/>
  <c r="F41" i="5"/>
  <c r="I74" i="5"/>
  <c r="E87" i="5"/>
  <c r="B124" i="5"/>
  <c r="B133" i="5"/>
  <c r="B135" i="5" s="1"/>
  <c r="D152" i="5"/>
  <c r="G152" i="5"/>
  <c r="I104" i="5"/>
  <c r="I174" i="5" s="1"/>
  <c r="G41" i="5"/>
  <c r="H93" i="5"/>
  <c r="I93" i="5"/>
  <c r="E93" i="5"/>
  <c r="B120" i="5"/>
  <c r="E120" i="5"/>
  <c r="H135" i="5"/>
  <c r="I152" i="5"/>
  <c r="H167" i="5"/>
  <c r="H172" i="5" s="1"/>
  <c r="G167" i="5"/>
  <c r="G172" i="5" s="1"/>
  <c r="B167" i="5"/>
  <c r="B172" i="5" s="1"/>
  <c r="G57" i="5"/>
  <c r="C93" i="5"/>
  <c r="C104" i="5" s="1"/>
  <c r="C36" i="5"/>
  <c r="C42" i="5" s="1"/>
  <c r="H41" i="5"/>
  <c r="B93" i="5"/>
  <c r="B104" i="5" s="1"/>
  <c r="B174" i="5" s="1"/>
  <c r="F93" i="5"/>
  <c r="F104" i="5" s="1"/>
  <c r="F174" i="5" s="1"/>
  <c r="H100" i="5"/>
  <c r="C120" i="5"/>
  <c r="F120" i="5"/>
  <c r="D124" i="5"/>
  <c r="C135" i="5"/>
  <c r="F133" i="5"/>
  <c r="F135" i="5" s="1"/>
  <c r="C167" i="5"/>
  <c r="C172" i="5" s="1"/>
  <c r="J25" i="5"/>
  <c r="J42" i="5" s="1"/>
  <c r="J60" i="5" s="1"/>
  <c r="J61" i="5" s="1"/>
  <c r="B42" i="5"/>
  <c r="B60" i="5" s="1"/>
  <c r="B61" i="5" s="1"/>
  <c r="F172" i="5"/>
  <c r="E104" i="5"/>
  <c r="D25" i="5"/>
  <c r="D42" i="5" s="1"/>
  <c r="G135" i="5"/>
  <c r="I42" i="5"/>
  <c r="I60" i="5" s="1"/>
  <c r="I61" i="5" s="1"/>
  <c r="E25" i="5"/>
  <c r="E42" i="5" s="1"/>
  <c r="E60" i="5" s="1"/>
  <c r="E61" i="5" s="1"/>
  <c r="F25" i="5"/>
  <c r="G25" i="5"/>
  <c r="C116" i="3"/>
  <c r="J78" i="3"/>
  <c r="C174" i="5" l="1"/>
  <c r="G104" i="5"/>
  <c r="G174" i="5" s="1"/>
  <c r="C60" i="5"/>
  <c r="C61" i="5" s="1"/>
  <c r="C175" i="5" s="1"/>
  <c r="C176" i="5" s="1"/>
  <c r="E174" i="5"/>
  <c r="G42" i="5"/>
  <c r="G60" i="5" s="1"/>
  <c r="G61" i="5" s="1"/>
  <c r="G175" i="5" s="1"/>
  <c r="G176" i="5" s="1"/>
  <c r="D60" i="5"/>
  <c r="D61" i="5" s="1"/>
  <c r="D175" i="5" s="1"/>
  <c r="D176" i="5" s="1"/>
  <c r="H104" i="5"/>
  <c r="H174" i="5" s="1"/>
  <c r="F42" i="5"/>
  <c r="F60" i="5" s="1"/>
  <c r="F61" i="5" s="1"/>
  <c r="H42" i="5"/>
  <c r="H60" i="5" s="1"/>
  <c r="H61" i="5" s="1"/>
  <c r="B175" i="5"/>
  <c r="B176" i="5" s="1"/>
  <c r="J175" i="5"/>
  <c r="J176" i="5" s="1"/>
  <c r="E175" i="5"/>
  <c r="E176" i="5" s="1"/>
  <c r="I175" i="5"/>
  <c r="I176" i="5" s="1"/>
  <c r="F175" i="5"/>
  <c r="F176" i="5" s="1"/>
  <c r="D98" i="3"/>
  <c r="F76" i="3"/>
  <c r="E72" i="3"/>
  <c r="D16" i="4"/>
  <c r="F16" i="4" s="1"/>
  <c r="C64" i="3"/>
  <c r="H175" i="5" l="1"/>
  <c r="H176" i="5" s="1"/>
  <c r="E16" i="4"/>
  <c r="I16" i="4" s="1"/>
  <c r="D5" i="4" l="1"/>
  <c r="E5" i="4" s="1"/>
  <c r="D15" i="4"/>
  <c r="D17" i="4"/>
  <c r="D21" i="4"/>
  <c r="F21" i="4" s="1"/>
  <c r="D20" i="4"/>
  <c r="D19" i="4"/>
  <c r="F19" i="4" s="1"/>
  <c r="D18" i="4"/>
  <c r="C62" i="3"/>
  <c r="C66" i="3"/>
  <c r="E54" i="3"/>
  <c r="F5" i="4" l="1"/>
  <c r="I5" i="4" s="1"/>
  <c r="E15" i="4"/>
  <c r="F15" i="4"/>
  <c r="E17" i="4"/>
  <c r="F17" i="4"/>
  <c r="E18" i="4"/>
  <c r="F18" i="4"/>
  <c r="F20" i="4"/>
  <c r="E19" i="4"/>
  <c r="I19" i="4" s="1"/>
  <c r="E21" i="4"/>
  <c r="I21" i="4" s="1"/>
  <c r="E20" i="4"/>
  <c r="E58" i="3" l="1"/>
  <c r="E58" i="7"/>
  <c r="I20" i="4"/>
  <c r="I17" i="4"/>
  <c r="I15" i="4"/>
  <c r="I22" i="4" s="1"/>
  <c r="I4" i="4" s="1"/>
  <c r="E59" i="7" s="1"/>
  <c r="I18" i="4"/>
  <c r="C37" i="3" l="1"/>
  <c r="E36" i="3"/>
  <c r="E35" i="3"/>
  <c r="F44" i="3" l="1"/>
  <c r="F101" i="3"/>
  <c r="D8" i="4" l="1"/>
  <c r="E8" i="4" l="1"/>
  <c r="F8" i="4"/>
  <c r="E29" i="3"/>
  <c r="C19" i="3"/>
  <c r="E33" i="3"/>
  <c r="E32" i="3"/>
  <c r="E18" i="3"/>
  <c r="D31" i="3" l="1"/>
  <c r="I8" i="4"/>
  <c r="E37" i="3"/>
  <c r="D70" i="3"/>
  <c r="C70" i="3"/>
  <c r="D64" i="3"/>
  <c r="D59" i="3"/>
  <c r="C59" i="3"/>
  <c r="D54" i="3"/>
  <c r="C54" i="3"/>
  <c r="D6" i="4"/>
  <c r="D10" i="4"/>
  <c r="D9" i="4"/>
  <c r="D7" i="4"/>
  <c r="D4" i="4"/>
  <c r="D3" i="4"/>
  <c r="E16" i="3"/>
  <c r="E15" i="3"/>
  <c r="E14" i="3"/>
  <c r="E12" i="3"/>
  <c r="E11" i="3"/>
  <c r="E10" i="3"/>
  <c r="E8" i="3"/>
  <c r="E7" i="3"/>
  <c r="E6" i="3"/>
  <c r="E66" i="3" l="1"/>
  <c r="E66" i="7"/>
  <c r="F19" i="3"/>
  <c r="E4" i="4"/>
  <c r="F4" i="4"/>
  <c r="F3" i="4"/>
  <c r="E3" i="4"/>
  <c r="E10" i="4"/>
  <c r="F10" i="4"/>
  <c r="F9" i="4"/>
  <c r="E9" i="4"/>
  <c r="F6" i="4"/>
  <c r="E6" i="4"/>
  <c r="E7" i="4"/>
  <c r="F7" i="4"/>
  <c r="I7" i="4"/>
  <c r="E64" i="3" l="1"/>
  <c r="E64" i="7"/>
  <c r="E59" i="3"/>
  <c r="I6" i="4"/>
  <c r="I10" i="4"/>
  <c r="I9" i="4"/>
  <c r="E68" i="7" s="1"/>
  <c r="E62" i="3" l="1"/>
  <c r="E62" i="7"/>
  <c r="F52" i="7" s="1"/>
  <c r="F105" i="7" s="1"/>
  <c r="E70" i="3"/>
  <c r="E70" i="7"/>
  <c r="I11" i="4"/>
  <c r="E68" i="3"/>
  <c r="C115" i="7" l="1"/>
  <c r="F107" i="7"/>
  <c r="C114" i="7" s="1"/>
  <c r="F38" i="3"/>
  <c r="E56" i="3"/>
  <c r="F52" i="3" s="1"/>
  <c r="E84" i="3"/>
  <c r="E98" i="3"/>
  <c r="F93" i="3" s="1"/>
  <c r="E73" i="3"/>
  <c r="E49" i="3"/>
  <c r="F47" i="3" s="1"/>
  <c r="E88" i="3" l="1"/>
  <c r="E82" i="3"/>
  <c r="E83" i="3"/>
  <c r="F103" i="3" l="1"/>
  <c r="F99" i="3"/>
  <c r="F81" i="3"/>
  <c r="F89" i="3"/>
  <c r="F85" i="3"/>
  <c r="F74" i="3"/>
  <c r="F79" i="3"/>
  <c r="F71" i="3"/>
  <c r="F91" i="3"/>
  <c r="F41" i="3"/>
  <c r="F106" i="3"/>
  <c r="F105" i="3" l="1"/>
  <c r="C115" i="3" s="1"/>
  <c r="F107" i="3" l="1"/>
  <c r="C1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McNair</author>
  </authors>
  <commentList>
    <comment ref="B115" authorId="0" shapeId="0" xr:uid="{0EF08516-8813-E943-A88D-2D03A6BE080B}">
      <text>
        <r>
          <rPr>
            <b/>
            <sz val="9"/>
            <color rgb="FF000000"/>
            <rFont val="Tahoma"/>
            <family val="2"/>
          </rPr>
          <t>Lisa McNair: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Number of Attendees Needed to Cover Fixed Costs.  Price based on CBA Member First Attendee Rate.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McNair</author>
  </authors>
  <commentList>
    <comment ref="B115" authorId="0" shapeId="0" xr:uid="{E17CF977-60E9-CF49-9CD3-24B869996FE5}">
      <text>
        <r>
          <rPr>
            <b/>
            <sz val="9"/>
            <color rgb="FF000000"/>
            <rFont val="Tahoma"/>
            <family val="2"/>
          </rPr>
          <t>Lisa McNair: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Number of Attendees Needed to Cover Fixed Costs.  Price based on CBA Member First Attendee Rate.
</t>
        </r>
      </text>
    </comment>
  </commentList>
</comments>
</file>

<file path=xl/sharedStrings.xml><?xml version="1.0" encoding="utf-8"?>
<sst xmlns="http://schemas.openxmlformats.org/spreadsheetml/2006/main" count="499" uniqueCount="344">
  <si>
    <t>INCOME</t>
  </si>
  <si>
    <t>EST. #</t>
  </si>
  <si>
    <t>PER PERSON</t>
  </si>
  <si>
    <t>PROJECTED INCOME</t>
  </si>
  <si>
    <t>ACTUALS</t>
  </si>
  <si>
    <t xml:space="preserve">REGISTRATION TOTAL </t>
  </si>
  <si>
    <t>ADDITIONAL TICKET TOTAL</t>
  </si>
  <si>
    <t>Sponsors</t>
  </si>
  <si>
    <t>TOTAL OTHER INCOME</t>
  </si>
  <si>
    <t>TOTAL INCOME</t>
  </si>
  <si>
    <t>EXPENSES</t>
  </si>
  <si>
    <t>PROJECTED EXPENSES</t>
  </si>
  <si>
    <t>TOTALS</t>
  </si>
  <si>
    <t xml:space="preserve">     Bartender Fees</t>
  </si>
  <si>
    <t xml:space="preserve">     Medium Hors' Dourves</t>
  </si>
  <si>
    <t xml:space="preserve">     Food</t>
  </si>
  <si>
    <t xml:space="preserve">     Equipment </t>
  </si>
  <si>
    <t xml:space="preserve">      On-Site Brochures</t>
  </si>
  <si>
    <t xml:space="preserve">      Name Badges and Lanyards</t>
  </si>
  <si>
    <t xml:space="preserve">     Rooms</t>
  </si>
  <si>
    <t>TOTAL EXPENSES</t>
  </si>
  <si>
    <t xml:space="preserve">     Net Income</t>
  </si>
  <si>
    <t xml:space="preserve">      Signs </t>
  </si>
  <si>
    <t>Projected Per Person Cost</t>
  </si>
  <si>
    <t>Breaks</t>
  </si>
  <si>
    <t xml:space="preserve">     Commission</t>
  </si>
  <si>
    <t xml:space="preserve">      F&amp;B</t>
  </si>
  <si>
    <t xml:space="preserve">     Rental</t>
  </si>
  <si>
    <t>Non-Member</t>
  </si>
  <si>
    <t xml:space="preserve">     Early Bird</t>
  </si>
  <si>
    <t xml:space="preserve">     Advanced</t>
  </si>
  <si>
    <t xml:space="preserve">     On-Site</t>
  </si>
  <si>
    <t>Professional and Affiliate</t>
  </si>
  <si>
    <t>Student and Retired Registration</t>
  </si>
  <si>
    <t>ADDITIONAL INCOME</t>
  </si>
  <si>
    <t>Exhibitor Income</t>
  </si>
  <si>
    <t>Professional Development</t>
  </si>
  <si>
    <t>Promotions</t>
  </si>
  <si>
    <t>Service Project</t>
  </si>
  <si>
    <t>PreConference Workshop Fees</t>
  </si>
  <si>
    <t>Conference Committee</t>
  </si>
  <si>
    <t>Tuesday Stuffing Lunch</t>
  </si>
  <si>
    <t xml:space="preserve">     For Students and Volunteers</t>
  </si>
  <si>
    <t>Closing Lunch</t>
  </si>
  <si>
    <t xml:space="preserve">      Buffet and Closing Speaker</t>
  </si>
  <si>
    <t xml:space="preserve">     Hotel Concessions</t>
  </si>
  <si>
    <t xml:space="preserve">     Proposal System</t>
  </si>
  <si>
    <t>Conference Related Merchant Services</t>
  </si>
  <si>
    <t xml:space="preserve">      Services</t>
  </si>
  <si>
    <t>Wednesday Night Reception</t>
  </si>
  <si>
    <t xml:space="preserve">     Thursday Afternoon</t>
  </si>
  <si>
    <t xml:space="preserve">     Core Apps</t>
  </si>
  <si>
    <t xml:space="preserve">     Internet</t>
  </si>
  <si>
    <t>Box Lunches</t>
  </si>
  <si>
    <t xml:space="preserve">     PreConference Lunches</t>
  </si>
  <si>
    <t>President's Dinner / PPAC</t>
  </si>
  <si>
    <t>CODING</t>
  </si>
  <si>
    <t>Half Day</t>
  </si>
  <si>
    <t>Full Day</t>
  </si>
  <si>
    <t>Exhibits</t>
  </si>
  <si>
    <t xml:space="preserve">     Table Rental</t>
  </si>
  <si>
    <t>Equipment / Room Rental</t>
  </si>
  <si>
    <t xml:space="preserve">F&amp;B </t>
  </si>
  <si>
    <t xml:space="preserve">Printing </t>
  </si>
  <si>
    <t xml:space="preserve">Promotions </t>
  </si>
  <si>
    <t xml:space="preserve">Registration Expenses </t>
  </si>
  <si>
    <t xml:space="preserve">Staff Travel </t>
  </si>
  <si>
    <t xml:space="preserve">Speaker Expenses </t>
  </si>
  <si>
    <t xml:space="preserve">    Speaker Lodging </t>
  </si>
  <si>
    <t xml:space="preserve">    Airfare and Transportation </t>
  </si>
  <si>
    <t xml:space="preserve">     Fees </t>
  </si>
  <si>
    <t xml:space="preserve">Sponsorship Sales </t>
  </si>
  <si>
    <t xml:space="preserve">Conference APP </t>
  </si>
  <si>
    <t xml:space="preserve">     Gratuities</t>
  </si>
  <si>
    <t xml:space="preserve">     Décor </t>
  </si>
  <si>
    <t xml:space="preserve">Conference Proposal System </t>
  </si>
  <si>
    <t xml:space="preserve">     Rental Car / Mileage</t>
  </si>
  <si>
    <t>2 Keynote presenters (inclusive fees of speaking/travel)</t>
  </si>
  <si>
    <t xml:space="preserve">     Other</t>
  </si>
  <si>
    <t xml:space="preserve">     VIP Lodging</t>
  </si>
  <si>
    <t>Thursday Breakfast</t>
  </si>
  <si>
    <t xml:space="preserve">     Thursday Breakfast</t>
  </si>
  <si>
    <t xml:space="preserve">      PLU forms (Printing)</t>
  </si>
  <si>
    <t>Advertising</t>
  </si>
  <si>
    <t>Conference Grants (PROBE)</t>
  </si>
  <si>
    <t>Cost of Meal</t>
  </si>
  <si>
    <t>Guest Count</t>
  </si>
  <si>
    <t>Total</t>
  </si>
  <si>
    <t>Sales Tax</t>
  </si>
  <si>
    <t>BQT Service</t>
  </si>
  <si>
    <t>Grand Total</t>
  </si>
  <si>
    <t xml:space="preserve">      Bags</t>
  </si>
  <si>
    <t xml:space="preserve">     T-Shirts</t>
  </si>
  <si>
    <t>Administrator Rate</t>
  </si>
  <si>
    <t xml:space="preserve">     Special Rate</t>
  </si>
  <si>
    <t xml:space="preserve">     Member Rate</t>
  </si>
  <si>
    <t xml:space="preserve">     Non-Member Rate</t>
  </si>
  <si>
    <t>2020 GSCA Conference Budget</t>
  </si>
  <si>
    <t>Friday Breakfast</t>
  </si>
  <si>
    <t>Conference Grants</t>
  </si>
  <si>
    <t xml:space="preserve">     Current Year (Jennifer's team)</t>
  </si>
  <si>
    <t xml:space="preserve">     Next Year (Chon's team)</t>
  </si>
  <si>
    <t xml:space="preserve">     Security</t>
  </si>
  <si>
    <t>PY Actual</t>
  </si>
  <si>
    <t>PROFIT MARGIN (%)</t>
  </si>
  <si>
    <t>BREAKEVEN FULL CONFERENCE REGULAR ATTENDEES</t>
  </si>
  <si>
    <t>BREAKEVEN Preconference Sessions</t>
  </si>
  <si>
    <t>$1,500 for 40 booths; add'l booths are $50 each plus service charges</t>
  </si>
  <si>
    <t>Break THURSDAY only</t>
  </si>
  <si>
    <t xml:space="preserve">     Wednesday Afternoon - NO BREAK ON WED</t>
  </si>
  <si>
    <t xml:space="preserve">     Friday Breakfast</t>
  </si>
  <si>
    <t>Cheese Display</t>
  </si>
  <si>
    <t>Southern Ham</t>
  </si>
  <si>
    <t>Vegetarian Antipasto Skewers</t>
  </si>
  <si>
    <t>Parm Artichoke Fritter</t>
  </si>
  <si>
    <t>Seasonal Crudites</t>
  </si>
  <si>
    <t>Flavored Ice Tea Stations</t>
  </si>
  <si>
    <t>Wednesday Reception Bartenders</t>
  </si>
  <si>
    <t>ADD SOMETHING</t>
  </si>
  <si>
    <t>includes attendees and exhibitors</t>
  </si>
  <si>
    <t>$163.07 per night including tax</t>
  </si>
  <si>
    <t>Mileage rates for 2020 are .58 / 262 miles each way</t>
  </si>
  <si>
    <t>Includes rooms for 6 preconference presenters and 2 keynotes</t>
  </si>
  <si>
    <t>ASCA VIP</t>
  </si>
  <si>
    <t xml:space="preserve">     Equipment for Preconference</t>
  </si>
  <si>
    <t>$900 per session for AV</t>
  </si>
  <si>
    <t>F&amp;B Minimum is $37++
Increase of $32,000 from 2019 on same events and with eliminattion of one break and changing breakfasts back to basic continental.</t>
  </si>
  <si>
    <t>Georgia School Counselor Association</t>
  </si>
  <si>
    <t>July 2012 - January 2020</t>
  </si>
  <si>
    <t>Jul 2012 - Jun 2013</t>
  </si>
  <si>
    <t>Jul 2013 - Jun 2014</t>
  </si>
  <si>
    <t>Jul 2014 - Jun 2015</t>
  </si>
  <si>
    <t>Jul 2015 - Jun 2016</t>
  </si>
  <si>
    <t>Jul 2016 - Jun 2017</t>
  </si>
  <si>
    <t>Jul 2017 - Jun 2018</t>
  </si>
  <si>
    <t>Jul 2018 - Jun 2019</t>
  </si>
  <si>
    <t>Jul 2019 - Jan 2020</t>
  </si>
  <si>
    <t>2020-2021 BUDGET</t>
  </si>
  <si>
    <t>Assumptions</t>
  </si>
  <si>
    <t>Income</t>
  </si>
  <si>
    <t xml:space="preserve">   4000 Annual Conference</t>
  </si>
  <si>
    <t xml:space="preserve">      4100 Conference Registration</t>
  </si>
  <si>
    <t xml:space="preserve">         4110 Non-Member</t>
  </si>
  <si>
    <t xml:space="preserve">            4111 Early Bird</t>
  </si>
  <si>
    <t xml:space="preserve">            4112 Advanced</t>
  </si>
  <si>
    <t xml:space="preserve">            4113 On-site</t>
  </si>
  <si>
    <t xml:space="preserve">         Total 4110 Non-Member</t>
  </si>
  <si>
    <t xml:space="preserve">         4120 Professional &amp; Affiliate</t>
  </si>
  <si>
    <t xml:space="preserve">            4121 Early Bird</t>
  </si>
  <si>
    <t xml:space="preserve">            4122 Advanced</t>
  </si>
  <si>
    <t xml:space="preserve">            4123 On-Site</t>
  </si>
  <si>
    <t xml:space="preserve">         Total 4120 Professional &amp; Affiliate</t>
  </si>
  <si>
    <t xml:space="preserve">         4130 Student &amp; Retired Registration</t>
  </si>
  <si>
    <t xml:space="preserve">            4131 Early Bird</t>
  </si>
  <si>
    <t xml:space="preserve">            4132 Advanced</t>
  </si>
  <si>
    <t xml:space="preserve">            4133 On-Site</t>
  </si>
  <si>
    <t xml:space="preserve">         Total 4130 Student &amp; Retired Registration</t>
  </si>
  <si>
    <t xml:space="preserve">         4160 Special Registration Categories</t>
  </si>
  <si>
    <t xml:space="preserve">      Total 4100 Conference Registration</t>
  </si>
  <si>
    <t xml:space="preserve">      4140 Other Conference Income</t>
  </si>
  <si>
    <t xml:space="preserve">         4141 Exhibitor Income</t>
  </si>
  <si>
    <t xml:space="preserve">         4142 Food Function Tickets</t>
  </si>
  <si>
    <t xml:space="preserve">         4143 Sponsors</t>
  </si>
  <si>
    <t xml:space="preserve">         4144 Professional Development</t>
  </si>
  <si>
    <t xml:space="preserve">         4145 Promotions</t>
  </si>
  <si>
    <t xml:space="preserve">         4146 Service Project</t>
  </si>
  <si>
    <t xml:space="preserve">         4147 Program Ads</t>
  </si>
  <si>
    <t xml:space="preserve">         4148 Other Income</t>
  </si>
  <si>
    <t xml:space="preserve">         4149 Conference Grants</t>
  </si>
  <si>
    <t xml:space="preserve">      Total 4140 Other Conference Income</t>
  </si>
  <si>
    <t xml:space="preserve">      4150 Pre-Workshop Registration Fees</t>
  </si>
  <si>
    <t xml:space="preserve">         4151 Half-Day</t>
  </si>
  <si>
    <t xml:space="preserve">         4152 Full-Day</t>
  </si>
  <si>
    <t xml:space="preserve">         4155 Learn &amp; Play Excursions</t>
  </si>
  <si>
    <t xml:space="preserve">      Total 4150 Pre-Workshop Registration Fees</t>
  </si>
  <si>
    <t xml:space="preserve">   Total 4000 Annual Conference</t>
  </si>
  <si>
    <t xml:space="preserve">   4200 Association Income</t>
  </si>
  <si>
    <t xml:space="preserve">      4201 BEACON Ads</t>
  </si>
  <si>
    <t xml:space="preserve">      4203 Scholarship Contributions</t>
  </si>
  <si>
    <t xml:space="preserve">      4204 Grants</t>
  </si>
  <si>
    <t xml:space="preserve">      4206 E-Newsletter/Website Royalties</t>
  </si>
  <si>
    <t>did not assume increase of 10%</t>
  </si>
  <si>
    <t xml:space="preserve">      4208 Job Board Royalties</t>
  </si>
  <si>
    <t xml:space="preserve">      4210 Education Opportunities</t>
  </si>
  <si>
    <t xml:space="preserve">         4211 Webinars</t>
  </si>
  <si>
    <t xml:space="preserve">      Total 4210 Education Opportunities</t>
  </si>
  <si>
    <t xml:space="preserve">   Total 4200 Association Income</t>
  </si>
  <si>
    <t xml:space="preserve">   4300 LDI Income (Sponsors/Donations)</t>
  </si>
  <si>
    <t xml:space="preserve">   4400 Membership Dues</t>
  </si>
  <si>
    <t xml:space="preserve">      4401 Professional/Affiliate Members</t>
  </si>
  <si>
    <t xml:space="preserve">      4402 Student/Retired Members</t>
  </si>
  <si>
    <t xml:space="preserve">   Total 4400 Membership Dues</t>
  </si>
  <si>
    <t xml:space="preserve">   4900 Interest Income</t>
  </si>
  <si>
    <t xml:space="preserve">   4999 Uncategorized Income</t>
  </si>
  <si>
    <t>Total Income</t>
  </si>
  <si>
    <t>Gross Profit</t>
  </si>
  <si>
    <t>Expenses</t>
  </si>
  <si>
    <t xml:space="preserve">   5000 Administrative</t>
  </si>
  <si>
    <t xml:space="preserve">      5001 Accountant- Professional Fees</t>
  </si>
  <si>
    <t xml:space="preserve">      5002 Assn Mgmt Travel &amp; Exp</t>
  </si>
  <si>
    <t xml:space="preserve">      5003 Association Managment Fees</t>
  </si>
  <si>
    <t xml:space="preserve">      5004 Bank Charges</t>
  </si>
  <si>
    <t xml:space="preserve">      5007 Insurance</t>
  </si>
  <si>
    <t xml:space="preserve">      5008 Merchant Services</t>
  </si>
  <si>
    <t xml:space="preserve">      5009 Office Expenses</t>
  </si>
  <si>
    <t xml:space="preserve">      5010 Website</t>
  </si>
  <si>
    <t>Fee for annual renewal of novi</t>
  </si>
  <si>
    <t xml:space="preserve">      5012 Legal -Professional Fees</t>
  </si>
  <si>
    <t xml:space="preserve">      5013 Taxes</t>
  </si>
  <si>
    <t xml:space="preserve">   Total 5000 Administrative</t>
  </si>
  <si>
    <t xml:space="preserve">   5100 Annual Conference Exp</t>
  </si>
  <si>
    <t xml:space="preserve">      5101 Conference Committee Current Yr</t>
  </si>
  <si>
    <t>Jennifer's Team</t>
  </si>
  <si>
    <t xml:space="preserve">      5102 Conference Committee Next Yr</t>
  </si>
  <si>
    <t>Chon's team</t>
  </si>
  <si>
    <t xml:space="preserve">      5103 Evaluations</t>
  </si>
  <si>
    <t xml:space="preserve">      5104 Exhibits</t>
  </si>
  <si>
    <t>(50 tables) $1,500 for 40 booths; add'l booths are $50 each plus service charges</t>
  </si>
  <si>
    <t xml:space="preserve">      5105 Facilities, Equipment Rental</t>
  </si>
  <si>
    <t xml:space="preserve">      5106 Food and Beverage</t>
  </si>
  <si>
    <t xml:space="preserve">      5108 Printing</t>
  </si>
  <si>
    <t xml:space="preserve">      5109 Prof Dev Processing</t>
  </si>
  <si>
    <t xml:space="preserve">      5110 Promotions</t>
  </si>
  <si>
    <t xml:space="preserve">      5111 Registration</t>
  </si>
  <si>
    <t xml:space="preserve">         5119 Staff Travel</t>
  </si>
  <si>
    <t>Mileage rates for 2020 are .58 / 262 miles each way/ + Staff Hotel rooms/+food</t>
  </si>
  <si>
    <t xml:space="preserve">      Total 5111 Registration</t>
  </si>
  <si>
    <t xml:space="preserve">      5113 Speakers' Expenses</t>
  </si>
  <si>
    <t xml:space="preserve">         5112 Speaker Fees</t>
  </si>
  <si>
    <t xml:space="preserve">         5114 Airfare &amp;  Transportation</t>
  </si>
  <si>
    <t xml:space="preserve">         5115 Speaker Lodging</t>
  </si>
  <si>
    <t xml:space="preserve">         5116 Speaker Per Diem</t>
  </si>
  <si>
    <t xml:space="preserve">      Total 5113 Speakers' Expenses</t>
  </si>
  <si>
    <t xml:space="preserve">      5117 Conf Sponsorship Commission</t>
  </si>
  <si>
    <t xml:space="preserve">      5118 Mobile App</t>
  </si>
  <si>
    <t xml:space="preserve">      5120 General</t>
  </si>
  <si>
    <t>Includes VIP Lodging and Other</t>
  </si>
  <si>
    <t xml:space="preserve">         5107 Decor, Supplies, etc.</t>
  </si>
  <si>
    <t xml:space="preserve">         5121 Gratuities</t>
  </si>
  <si>
    <t xml:space="preserve">         5122 Hotel Concessions</t>
  </si>
  <si>
    <t xml:space="preserve">      Total 5120 General</t>
  </si>
  <si>
    <t xml:space="preserve">      5125 Conference Proposal System</t>
  </si>
  <si>
    <t xml:space="preserve">      5130 Conf Related Merchant Services</t>
  </si>
  <si>
    <t xml:space="preserve">      5135 Conference Grants</t>
  </si>
  <si>
    <t xml:space="preserve">   Total 5100 Annual Conference Exp</t>
  </si>
  <si>
    <t xml:space="preserve">   5200 Governance</t>
  </si>
  <si>
    <t xml:space="preserve">      5201 Executive Board Expense</t>
  </si>
  <si>
    <t xml:space="preserve">      5202 Governing Board Expense</t>
  </si>
  <si>
    <t xml:space="preserve">      5203 Nominations and Elections</t>
  </si>
  <si>
    <t xml:space="preserve">   Total 5200 Governance</t>
  </si>
  <si>
    <t xml:space="preserve">   5300 LDI</t>
  </si>
  <si>
    <t xml:space="preserve">      5304 Facilities &amp; Equipment Rental</t>
  </si>
  <si>
    <t xml:space="preserve">      5305 Food (Catering &amp; Snacks)</t>
  </si>
  <si>
    <t xml:space="preserve">      5306 Lodging</t>
  </si>
  <si>
    <t xml:space="preserve">      5307 Mileage Reimbursements</t>
  </si>
  <si>
    <t xml:space="preserve">      5308 Misc. (decor, Supplies, Photo)</t>
  </si>
  <si>
    <t xml:space="preserve">      5309 Printing</t>
  </si>
  <si>
    <t xml:space="preserve">      5310 Tshirt &amp; Favors &amp; Gifts</t>
  </si>
  <si>
    <t xml:space="preserve">      5311 Professional Development</t>
  </si>
  <si>
    <t xml:space="preserve">      5312 Speaker</t>
  </si>
  <si>
    <t xml:space="preserve">   Total 5300 LDI</t>
  </si>
  <si>
    <t xml:space="preserve">   5400 Officer Expenses</t>
  </si>
  <si>
    <t xml:space="preserve">      5401 President</t>
  </si>
  <si>
    <t xml:space="preserve">      5402 President-Elect</t>
  </si>
  <si>
    <t xml:space="preserve">   Total 5400 Officer Expenses</t>
  </si>
  <si>
    <t xml:space="preserve">   5500 Other Expenses</t>
  </si>
  <si>
    <t xml:space="preserve">      5501 Service Project</t>
  </si>
  <si>
    <t xml:space="preserve">      5502 ASCA State Leaders Meeting</t>
  </si>
  <si>
    <t xml:space="preserve">      5505 Professional Issues</t>
  </si>
  <si>
    <t xml:space="preserve">      5506 Scholarships</t>
  </si>
  <si>
    <t xml:space="preserve">         5507 College (2) Emeliza Swain-COTY</t>
  </si>
  <si>
    <t xml:space="preserve">         5508 College (2) GSCA Scholar-Member</t>
  </si>
  <si>
    <t xml:space="preserve">         5509 College - PROBE</t>
  </si>
  <si>
    <t xml:space="preserve">      Total 5506 Scholarships</t>
  </si>
  <si>
    <t xml:space="preserve">      5511 GAEL Conference</t>
  </si>
  <si>
    <t xml:space="preserve">   Total 5500 Other Expenses</t>
  </si>
  <si>
    <t xml:space="preserve">   5700 Publications</t>
  </si>
  <si>
    <t xml:space="preserve">      5710 BEACON</t>
  </si>
  <si>
    <t xml:space="preserve">      5720 Journal</t>
  </si>
  <si>
    <t xml:space="preserve">   Total 5700 Publications</t>
  </si>
  <si>
    <t xml:space="preserve">   5900 Membership</t>
  </si>
  <si>
    <t xml:space="preserve">      5909 Graduate Student Liaison</t>
  </si>
  <si>
    <t xml:space="preserve">      5915 Membership</t>
  </si>
  <si>
    <t xml:space="preserve">      5919 Photography</t>
  </si>
  <si>
    <t xml:space="preserve">      5924 Professional Recognition</t>
  </si>
  <si>
    <t xml:space="preserve">      5929 Marketing</t>
  </si>
  <si>
    <t xml:space="preserve">   Total 5900 Membership</t>
  </si>
  <si>
    <t xml:space="preserve">   5908 Advocacy</t>
  </si>
  <si>
    <t xml:space="preserve">      59081 Advocacy</t>
  </si>
  <si>
    <t xml:space="preserve">      59082 Presentations-Prof Conferences</t>
  </si>
  <si>
    <t xml:space="preserve">      59083 Legislative Lobbying Fees</t>
  </si>
  <si>
    <t xml:space="preserve">      59084 Advocacy Conference - NOSCA</t>
  </si>
  <si>
    <t xml:space="preserve">   Total 5908 Advocacy</t>
  </si>
  <si>
    <t xml:space="preserve">   5923 Professional Development</t>
  </si>
  <si>
    <t xml:space="preserve">      5800 Region Expenses</t>
  </si>
  <si>
    <t xml:space="preserve">         5801 Region 1 Chair</t>
  </si>
  <si>
    <t xml:space="preserve">         5802 Region 2 Chair</t>
  </si>
  <si>
    <t xml:space="preserve">         5803 Region 3 Chair</t>
  </si>
  <si>
    <t xml:space="preserve">         5804 Region 4 Chair</t>
  </si>
  <si>
    <t xml:space="preserve">         5805 Region 5 Chair</t>
  </si>
  <si>
    <t xml:space="preserve">         5806 Region 6 Chair</t>
  </si>
  <si>
    <t xml:space="preserve">         5807 Region 7 Chair</t>
  </si>
  <si>
    <t xml:space="preserve">         5808 Region 8 Chair</t>
  </si>
  <si>
    <t xml:space="preserve">         5809 Region 9 Chair</t>
  </si>
  <si>
    <t xml:space="preserve">         5810 Region 10 Chair</t>
  </si>
  <si>
    <t xml:space="preserve">         5811 Region 11 Chair</t>
  </si>
  <si>
    <t xml:space="preserve">         5812 Region 12 Chair</t>
  </si>
  <si>
    <t xml:space="preserve">      Total 5800 Region Expenses</t>
  </si>
  <si>
    <t xml:space="preserve">      5930 CKES</t>
  </si>
  <si>
    <t xml:space="preserve">      5931 Trainings</t>
  </si>
  <si>
    <t xml:space="preserve">         5932 Trainer - Honorarium</t>
  </si>
  <si>
    <t xml:space="preserve">      Total 5931 Trainings</t>
  </si>
  <si>
    <t xml:space="preserve">   Total 5923 Professional Development</t>
  </si>
  <si>
    <t xml:space="preserve">   5928 Strategic Planning</t>
  </si>
  <si>
    <t>Total Expenses</t>
  </si>
  <si>
    <t>Net Operating Income</t>
  </si>
  <si>
    <t>Net Income</t>
  </si>
  <si>
    <t>Tuesday, Feb 11, 2020 11:26:52 AM GMT-8 - Accrual Basis</t>
  </si>
  <si>
    <t>PROBE</t>
  </si>
  <si>
    <t>ASCA Affiliate membership</t>
  </si>
  <si>
    <t>Placeholder for estimate Contract</t>
  </si>
  <si>
    <t>Expenses will hit in July 2020</t>
  </si>
  <si>
    <t>expenses will hit in July 2020</t>
  </si>
  <si>
    <t>#132</t>
  </si>
  <si>
    <t>This is variable based on member/attendee credit card usage</t>
  </si>
  <si>
    <t>Fee is comlimentary from ASCA</t>
  </si>
  <si>
    <t xml:space="preserve">based on 950 printed -  includes attendees and exhibitors </t>
  </si>
  <si>
    <t xml:space="preserve"> Misc. /General</t>
  </si>
  <si>
    <r>
      <rPr>
        <sz val="11"/>
        <color rgb="FFFF0000"/>
        <rFont val="Calibri"/>
        <family val="2"/>
      </rPr>
      <t>All charges will fall in July 20-21 budget year.</t>
    </r>
    <r>
      <rPr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Nothing Charges to this Fiscal year.</t>
    </r>
    <r>
      <rPr>
        <sz val="11"/>
        <color rgb="FF000000"/>
        <rFont val="Calibri"/>
        <family val="2"/>
      </rPr>
      <t xml:space="preserve"> Conference July 11-14, 2021 Las Vegas/3attendees at most- Airfare + Reg Fees in June/ $1500 airfare (3). $600.00 Reg. fee pd. To ASCA -Rest expenses fall into Fiscal year 2021/2022. </t>
    </r>
  </si>
  <si>
    <t>Board hasn’t decided on this scholarship yet . For discussion by EB</t>
  </si>
  <si>
    <t>Increase in printing due to increase in membership Approx.</t>
  </si>
  <si>
    <t>5% increase</t>
  </si>
  <si>
    <t>Profit and Loss/2020-2021 Proposed Budget</t>
  </si>
  <si>
    <t>2020 GSCA Conference Budget PLAYING WITH NUMBERS</t>
  </si>
  <si>
    <t xml:space="preserve">member rate $50 Non member $65./Fullday </t>
  </si>
  <si>
    <t>Raised rates by FC motion  Member rate $100 Non-member rate $130</t>
  </si>
  <si>
    <r>
      <t xml:space="preserve">1110 X $70.00 </t>
    </r>
    <r>
      <rPr>
        <sz val="11"/>
        <color rgb="FFFF0000"/>
        <rFont val="Calibri"/>
        <family val="2"/>
      </rPr>
      <t>(increase by $5</t>
    </r>
    <r>
      <rPr>
        <sz val="11"/>
        <color rgb="FF000000"/>
        <rFont val="Calibri"/>
        <family val="2"/>
      </rPr>
      <t>)</t>
    </r>
  </si>
  <si>
    <r>
      <t xml:space="preserve">280 X $38.00  </t>
    </r>
    <r>
      <rPr>
        <sz val="11"/>
        <color rgb="FFFF0000"/>
        <rFont val="Calibri"/>
        <family val="2"/>
      </rPr>
      <t>(increase by $5)</t>
    </r>
  </si>
  <si>
    <t>FC change to $150 per region</t>
  </si>
  <si>
    <t>FC please try to reduce this closing amount as much as possible (Suggested amount total expense for closing $14,000)</t>
  </si>
  <si>
    <t>increase $5.00/$10.00</t>
  </si>
  <si>
    <t>Placeholder as has not been negotiated or discussed. (please discuss future sustainability)</t>
  </si>
  <si>
    <t xml:space="preserve"> subline for professional recogition  stipend for Nat'l Counselor of the year video is  ($500)</t>
  </si>
  <si>
    <r>
      <t xml:space="preserve">"F&amp;B Minimum is $37++
</t>
    </r>
    <r>
      <rPr>
        <sz val="11"/>
        <color rgb="FFFF0000"/>
        <rFont val="Calibri"/>
        <family val="2"/>
      </rPr>
      <t>Reduce closing session F&amp;B -closing session will be a brunch with light food try to keep at max cost $14,000. not reflected in this budget number</t>
    </r>
    <r>
      <rPr>
        <sz val="11"/>
        <color rgb="FF000000"/>
        <rFont val="Calibri"/>
        <family val="2"/>
      </rPr>
      <t xml:space="preserve">
Increase of $32,000 from 2019 on same events and with eliminattion of one break and changing breakfasts back to basic continental."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</si>
</sst>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;[Red]&quot;$&quot;#,##0.00"/>
    <numFmt numFmtId="166" formatCode="#,##0.00\ _€"/>
    <numFmt numFmtId="167" formatCode="&quot;$&quot;* #,##0.00\ _€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indexed="1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000080"/>
      <name val="Helvetica"/>
      <family val="2"/>
    </font>
    <font>
      <sz val="18"/>
      <color rgb="FFFFFF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u val="singleAccounting"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u/>
      <sz val="10"/>
      <name val="Arial Narrow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rgb="FF000000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6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44" fontId="0" fillId="0" borderId="7" xfId="0" applyNumberFormat="1" applyFont="1" applyBorder="1" applyAlignment="1">
      <alignment vertical="top"/>
    </xf>
    <xf numFmtId="44" fontId="0" fillId="0" borderId="10" xfId="0" applyNumberFormat="1" applyFont="1" applyBorder="1" applyAlignment="1">
      <alignment vertical="top"/>
    </xf>
    <xf numFmtId="37" fontId="0" fillId="0" borderId="11" xfId="0" applyNumberFormat="1" applyFont="1" applyBorder="1" applyAlignment="1">
      <alignment horizontal="center" vertical="top"/>
    </xf>
    <xf numFmtId="44" fontId="0" fillId="0" borderId="7" xfId="0" applyNumberFormat="1" applyFont="1" applyFill="1" applyBorder="1" applyAlignment="1">
      <alignment vertical="top"/>
    </xf>
    <xf numFmtId="44" fontId="4" fillId="0" borderId="4" xfId="0" applyNumberFormat="1" applyFont="1" applyBorder="1"/>
    <xf numFmtId="44" fontId="4" fillId="0" borderId="7" xfId="0" applyNumberFormat="1" applyFont="1" applyBorder="1"/>
    <xf numFmtId="44" fontId="7" fillId="0" borderId="0" xfId="0" applyNumberFormat="1" applyFont="1" applyFill="1" applyBorder="1" applyAlignment="1">
      <alignment horizontal="left"/>
    </xf>
    <xf numFmtId="44" fontId="6" fillId="0" borderId="0" xfId="0" applyNumberFormat="1" applyFont="1" applyFill="1" applyBorder="1" applyAlignment="1">
      <alignment horizontal="center"/>
    </xf>
    <xf numFmtId="44" fontId="5" fillId="0" borderId="0" xfId="0" applyNumberFormat="1" applyFont="1" applyBorder="1"/>
    <xf numFmtId="37" fontId="5" fillId="0" borderId="0" xfId="0" applyNumberFormat="1" applyFont="1" applyBorder="1" applyAlignment="1">
      <alignment horizontal="center"/>
    </xf>
    <xf numFmtId="44" fontId="5" fillId="0" borderId="0" xfId="2" applyNumberFormat="1" applyFont="1" applyBorder="1"/>
    <xf numFmtId="44" fontId="8" fillId="0" borderId="0" xfId="2" applyNumberFormat="1" applyFont="1" applyBorder="1"/>
    <xf numFmtId="44" fontId="8" fillId="0" borderId="1" xfId="0" applyNumberFormat="1" applyFont="1" applyBorder="1" applyAlignment="1">
      <alignment horizontal="left"/>
    </xf>
    <xf numFmtId="37" fontId="8" fillId="0" borderId="2" xfId="0" applyNumberFormat="1" applyFont="1" applyBorder="1" applyAlignment="1">
      <alignment horizontal="center"/>
    </xf>
    <xf numFmtId="44" fontId="8" fillId="0" borderId="2" xfId="1" applyNumberFormat="1" applyFont="1" applyBorder="1" applyAlignment="1">
      <alignment horizontal="center" wrapText="1"/>
    </xf>
    <xf numFmtId="44" fontId="8" fillId="0" borderId="3" xfId="1" applyNumberFormat="1" applyFont="1" applyBorder="1" applyAlignment="1">
      <alignment horizontal="center"/>
    </xf>
    <xf numFmtId="44" fontId="5" fillId="0" borderId="8" xfId="2" applyNumberFormat="1" applyFont="1" applyBorder="1"/>
    <xf numFmtId="44" fontId="8" fillId="0" borderId="9" xfId="2" applyNumberFormat="1" applyFont="1" applyFill="1" applyBorder="1"/>
    <xf numFmtId="37" fontId="5" fillId="0" borderId="8" xfId="0" applyNumberFormat="1" applyFont="1" applyFill="1" applyBorder="1" applyAlignment="1">
      <alignment horizontal="center"/>
    </xf>
    <xf numFmtId="44" fontId="5" fillId="0" borderId="5" xfId="2" applyNumberFormat="1" applyFont="1" applyBorder="1" applyAlignment="1">
      <alignment vertical="top"/>
    </xf>
    <xf numFmtId="44" fontId="8" fillId="0" borderId="6" xfId="2" applyNumberFormat="1" applyFont="1" applyFill="1" applyBorder="1" applyAlignment="1">
      <alignment vertical="top"/>
    </xf>
    <xf numFmtId="37" fontId="5" fillId="0" borderId="8" xfId="0" applyNumberFormat="1" applyFont="1" applyFill="1" applyBorder="1" applyAlignment="1">
      <alignment horizontal="center" vertical="top"/>
    </xf>
    <xf numFmtId="44" fontId="5" fillId="0" borderId="8" xfId="2" applyNumberFormat="1" applyFont="1" applyBorder="1" applyAlignment="1">
      <alignment vertical="top"/>
    </xf>
    <xf numFmtId="44" fontId="8" fillId="0" borderId="9" xfId="2" applyNumberFormat="1" applyFont="1" applyFill="1" applyBorder="1" applyAlignment="1">
      <alignment vertical="top"/>
    </xf>
    <xf numFmtId="44" fontId="5" fillId="0" borderId="11" xfId="2" applyNumberFormat="1" applyFont="1" applyBorder="1" applyAlignment="1">
      <alignment vertical="top"/>
    </xf>
    <xf numFmtId="44" fontId="8" fillId="0" borderId="12" xfId="2" applyNumberFormat="1" applyFont="1" applyFill="1" applyBorder="1" applyAlignment="1">
      <alignment vertical="top"/>
    </xf>
    <xf numFmtId="44" fontId="8" fillId="0" borderId="16" xfId="0" applyNumberFormat="1" applyFont="1" applyBorder="1" applyAlignment="1">
      <alignment vertical="top"/>
    </xf>
    <xf numFmtId="37" fontId="8" fillId="0" borderId="17" xfId="0" applyNumberFormat="1" applyFont="1" applyBorder="1" applyAlignment="1">
      <alignment horizontal="center" vertical="top"/>
    </xf>
    <xf numFmtId="44" fontId="8" fillId="0" borderId="17" xfId="2" applyNumberFormat="1" applyFont="1" applyBorder="1" applyAlignment="1">
      <alignment vertical="top"/>
    </xf>
    <xf numFmtId="44" fontId="8" fillId="0" borderId="18" xfId="2" applyNumberFormat="1" applyFont="1" applyFill="1" applyBorder="1" applyAlignment="1">
      <alignment vertical="top"/>
    </xf>
    <xf numFmtId="44" fontId="8" fillId="2" borderId="21" xfId="0" applyNumberFormat="1" applyFont="1" applyFill="1" applyBorder="1" applyAlignment="1">
      <alignment vertical="top"/>
    </xf>
    <xf numFmtId="37" fontId="8" fillId="2" borderId="22" xfId="0" applyNumberFormat="1" applyFont="1" applyFill="1" applyBorder="1" applyAlignment="1">
      <alignment horizontal="center" vertical="top"/>
    </xf>
    <xf numFmtId="44" fontId="8" fillId="2" borderId="22" xfId="2" applyNumberFormat="1" applyFont="1" applyFill="1" applyBorder="1" applyAlignment="1">
      <alignment vertical="top"/>
    </xf>
    <xf numFmtId="44" fontId="8" fillId="2" borderId="23" xfId="2" applyNumberFormat="1" applyFont="1" applyFill="1" applyBorder="1" applyAlignment="1">
      <alignment vertical="top"/>
    </xf>
    <xf numFmtId="44" fontId="8" fillId="0" borderId="16" xfId="0" applyNumberFormat="1" applyFont="1" applyBorder="1" applyAlignment="1">
      <alignment horizontal="center" vertical="top"/>
    </xf>
    <xf numFmtId="44" fontId="8" fillId="0" borderId="17" xfId="2" applyNumberFormat="1" applyFont="1" applyBorder="1" applyAlignment="1">
      <alignment horizontal="center" vertical="top" wrapText="1"/>
    </xf>
    <xf numFmtId="44" fontId="8" fillId="0" borderId="18" xfId="2" applyNumberFormat="1" applyFont="1" applyFill="1" applyBorder="1" applyAlignment="1">
      <alignment horizontal="center" vertical="top"/>
    </xf>
    <xf numFmtId="44" fontId="8" fillId="3" borderId="7" xfId="0" applyNumberFormat="1" applyFont="1" applyFill="1" applyBorder="1" applyAlignment="1">
      <alignment vertical="top"/>
    </xf>
    <xf numFmtId="37" fontId="5" fillId="3" borderId="8" xfId="0" applyNumberFormat="1" applyFont="1" applyFill="1" applyBorder="1" applyAlignment="1">
      <alignment horizontal="center" vertical="top"/>
    </xf>
    <xf numFmtId="44" fontId="5" fillId="3" borderId="8" xfId="2" applyNumberFormat="1" applyFont="1" applyFill="1" applyBorder="1" applyAlignment="1">
      <alignment vertical="top"/>
    </xf>
    <xf numFmtId="44" fontId="8" fillId="3" borderId="8" xfId="2" applyNumberFormat="1" applyFont="1" applyFill="1" applyBorder="1" applyAlignment="1">
      <alignment vertical="top"/>
    </xf>
    <xf numFmtId="44" fontId="8" fillId="3" borderId="9" xfId="2" applyNumberFormat="1" applyFont="1" applyFill="1" applyBorder="1" applyAlignment="1">
      <alignment vertical="top"/>
    </xf>
    <xf numFmtId="44" fontId="5" fillId="0" borderId="7" xfId="0" applyNumberFormat="1" applyFont="1" applyBorder="1" applyAlignment="1">
      <alignment vertical="top"/>
    </xf>
    <xf numFmtId="37" fontId="5" fillId="0" borderId="8" xfId="0" applyNumberFormat="1" applyFont="1" applyBorder="1" applyAlignment="1">
      <alignment horizontal="center" vertical="top"/>
    </xf>
    <xf numFmtId="44" fontId="5" fillId="0" borderId="8" xfId="2" applyNumberFormat="1" applyFont="1" applyFill="1" applyBorder="1" applyAlignment="1">
      <alignment vertical="top"/>
    </xf>
    <xf numFmtId="44" fontId="8" fillId="4" borderId="7" xfId="0" applyNumberFormat="1" applyFont="1" applyFill="1" applyBorder="1" applyAlignment="1">
      <alignment vertical="top"/>
    </xf>
    <xf numFmtId="37" fontId="5" fillId="4" borderId="8" xfId="0" applyNumberFormat="1" applyFont="1" applyFill="1" applyBorder="1" applyAlignment="1">
      <alignment horizontal="center" vertical="top"/>
    </xf>
    <xf numFmtId="44" fontId="5" fillId="4" borderId="8" xfId="2" applyNumberFormat="1" applyFont="1" applyFill="1" applyBorder="1" applyAlignment="1">
      <alignment vertical="top"/>
    </xf>
    <xf numFmtId="44" fontId="8" fillId="4" borderId="8" xfId="2" applyNumberFormat="1" applyFont="1" applyFill="1" applyBorder="1" applyAlignment="1">
      <alignment vertical="top"/>
    </xf>
    <xf numFmtId="44" fontId="8" fillId="4" borderId="9" xfId="2" applyNumberFormat="1" applyFont="1" applyFill="1" applyBorder="1" applyAlignment="1">
      <alignment vertical="top"/>
    </xf>
    <xf numFmtId="37" fontId="8" fillId="4" borderId="8" xfId="0" applyNumberFormat="1" applyFont="1" applyFill="1" applyBorder="1" applyAlignment="1">
      <alignment horizontal="center" vertical="top"/>
    </xf>
    <xf numFmtId="44" fontId="8" fillId="4" borderId="8" xfId="0" applyNumberFormat="1" applyFont="1" applyFill="1" applyBorder="1" applyAlignment="1">
      <alignment vertical="top"/>
    </xf>
    <xf numFmtId="44" fontId="5" fillId="0" borderId="9" xfId="2" applyNumberFormat="1" applyFont="1" applyBorder="1" applyAlignment="1">
      <alignment vertical="top"/>
    </xf>
    <xf numFmtId="44" fontId="10" fillId="0" borderId="7" xfId="0" applyNumberFormat="1" applyFont="1" applyBorder="1" applyAlignment="1">
      <alignment vertical="top"/>
    </xf>
    <xf numFmtId="44" fontId="10" fillId="0" borderId="8" xfId="2" applyNumberFormat="1" applyFont="1" applyBorder="1" applyAlignment="1">
      <alignment vertical="top"/>
    </xf>
    <xf numFmtId="44" fontId="11" fillId="4" borderId="7" xfId="0" applyNumberFormat="1" applyFont="1" applyFill="1" applyBorder="1" applyAlignment="1">
      <alignment vertical="top"/>
    </xf>
    <xf numFmtId="37" fontId="10" fillId="4" borderId="8" xfId="0" applyNumberFormat="1" applyFont="1" applyFill="1" applyBorder="1" applyAlignment="1">
      <alignment horizontal="center" vertical="top"/>
    </xf>
    <xf numFmtId="44" fontId="10" fillId="4" borderId="8" xfId="2" applyNumberFormat="1" applyFont="1" applyFill="1" applyBorder="1" applyAlignment="1">
      <alignment vertical="top"/>
    </xf>
    <xf numFmtId="44" fontId="11" fillId="4" borderId="9" xfId="2" applyNumberFormat="1" applyFont="1" applyFill="1" applyBorder="1" applyAlignment="1">
      <alignment vertical="top"/>
    </xf>
    <xf numFmtId="44" fontId="0" fillId="0" borderId="8" xfId="0" applyNumberFormat="1" applyFont="1" applyFill="1" applyBorder="1" applyAlignment="1">
      <alignment vertical="top"/>
    </xf>
    <xf numFmtId="44" fontId="0" fillId="0" borderId="9" xfId="0" applyNumberFormat="1" applyFont="1" applyFill="1" applyBorder="1" applyAlignment="1">
      <alignment vertical="top"/>
    </xf>
    <xf numFmtId="44" fontId="0" fillId="0" borderId="10" xfId="0" applyNumberFormat="1" applyFont="1" applyFill="1" applyBorder="1" applyAlignment="1">
      <alignment vertical="top"/>
    </xf>
    <xf numFmtId="37" fontId="5" fillId="0" borderId="11" xfId="0" applyNumberFormat="1" applyFont="1" applyFill="1" applyBorder="1" applyAlignment="1">
      <alignment horizontal="center" vertical="top"/>
    </xf>
    <xf numFmtId="44" fontId="0" fillId="0" borderId="11" xfId="0" applyNumberFormat="1" applyFont="1" applyFill="1" applyBorder="1" applyAlignment="1">
      <alignment vertical="top"/>
    </xf>
    <xf numFmtId="44" fontId="0" fillId="0" borderId="12" xfId="0" applyNumberFormat="1" applyFont="1" applyFill="1" applyBorder="1" applyAlignment="1">
      <alignment vertical="top"/>
    </xf>
    <xf numFmtId="44" fontId="5" fillId="2" borderId="13" xfId="0" applyNumberFormat="1" applyFont="1" applyFill="1" applyBorder="1" applyAlignment="1">
      <alignment vertical="top"/>
    </xf>
    <xf numFmtId="37" fontId="5" fillId="2" borderId="14" xfId="0" applyNumberFormat="1" applyFont="1" applyFill="1" applyBorder="1" applyAlignment="1">
      <alignment horizontal="center" vertical="top"/>
    </xf>
    <xf numFmtId="44" fontId="5" fillId="2" borderId="14" xfId="2" applyNumberFormat="1" applyFont="1" applyFill="1" applyBorder="1" applyAlignment="1">
      <alignment vertical="top"/>
    </xf>
    <xf numFmtId="44" fontId="8" fillId="2" borderId="15" xfId="2" applyNumberFormat="1" applyFont="1" applyFill="1" applyBorder="1" applyAlignment="1">
      <alignment vertical="top"/>
    </xf>
    <xf numFmtId="44" fontId="5" fillId="2" borderId="19" xfId="0" applyNumberFormat="1" applyFont="1" applyFill="1" applyBorder="1" applyAlignment="1">
      <alignment vertical="top"/>
    </xf>
    <xf numFmtId="37" fontId="5" fillId="2" borderId="0" xfId="0" applyNumberFormat="1" applyFont="1" applyFill="1" applyBorder="1" applyAlignment="1">
      <alignment horizontal="center" vertical="top"/>
    </xf>
    <xf numFmtId="44" fontId="5" fillId="2" borderId="0" xfId="2" applyNumberFormat="1" applyFont="1" applyFill="1" applyBorder="1" applyAlignment="1">
      <alignment vertical="top"/>
    </xf>
    <xf numFmtId="44" fontId="8" fillId="2" borderId="20" xfId="2" applyNumberFormat="1" applyFont="1" applyFill="1" applyBorder="1" applyAlignment="1">
      <alignment vertical="top"/>
    </xf>
    <xf numFmtId="44" fontId="5" fillId="2" borderId="19" xfId="1" applyNumberFormat="1" applyFont="1" applyFill="1" applyBorder="1" applyAlignment="1">
      <alignment vertical="top"/>
    </xf>
    <xf numFmtId="37" fontId="5" fillId="2" borderId="0" xfId="1" applyNumberFormat="1" applyFont="1" applyFill="1" applyBorder="1" applyAlignment="1">
      <alignment horizontal="center" vertical="top"/>
    </xf>
    <xf numFmtId="44" fontId="5" fillId="2" borderId="16" xfId="0" applyNumberFormat="1" applyFont="1" applyFill="1" applyBorder="1" applyAlignment="1">
      <alignment vertical="top"/>
    </xf>
    <xf numFmtId="37" fontId="5" fillId="2" borderId="17" xfId="0" applyNumberFormat="1" applyFont="1" applyFill="1" applyBorder="1" applyAlignment="1">
      <alignment horizontal="center" vertical="top"/>
    </xf>
    <xf numFmtId="44" fontId="5" fillId="2" borderId="17" xfId="2" applyNumberFormat="1" applyFont="1" applyFill="1" applyBorder="1" applyAlignment="1">
      <alignment vertical="top"/>
    </xf>
    <xf numFmtId="44" fontId="8" fillId="2" borderId="18" xfId="2" applyNumberFormat="1" applyFont="1" applyFill="1" applyBorder="1" applyAlignment="1">
      <alignment vertical="top"/>
    </xf>
    <xf numFmtId="44" fontId="5" fillId="0" borderId="0" xfId="1" applyNumberFormat="1" applyFont="1" applyBorder="1"/>
    <xf numFmtId="44" fontId="8" fillId="0" borderId="16" xfId="0" applyNumberFormat="1" applyFont="1" applyFill="1" applyBorder="1" applyAlignment="1">
      <alignment vertical="top"/>
    </xf>
    <xf numFmtId="37" fontId="8" fillId="0" borderId="17" xfId="0" applyNumberFormat="1" applyFont="1" applyFill="1" applyBorder="1" applyAlignment="1">
      <alignment horizontal="center" vertical="top"/>
    </xf>
    <xf numFmtId="44" fontId="8" fillId="0" borderId="17" xfId="2" applyNumberFormat="1" applyFont="1" applyFill="1" applyBorder="1" applyAlignment="1">
      <alignment vertical="top"/>
    </xf>
    <xf numFmtId="44" fontId="4" fillId="0" borderId="24" xfId="0" applyNumberFormat="1" applyFont="1" applyBorder="1"/>
    <xf numFmtId="44" fontId="5" fillId="0" borderId="25" xfId="2" applyNumberFormat="1" applyFont="1" applyBorder="1"/>
    <xf numFmtId="44" fontId="8" fillId="0" borderId="26" xfId="2" applyNumberFormat="1" applyFont="1" applyFill="1" applyBorder="1"/>
    <xf numFmtId="44" fontId="8" fillId="0" borderId="21" xfId="0" applyNumberFormat="1" applyFont="1" applyFill="1" applyBorder="1"/>
    <xf numFmtId="37" fontId="8" fillId="0" borderId="22" xfId="0" applyNumberFormat="1" applyFont="1" applyFill="1" applyBorder="1" applyAlignment="1">
      <alignment horizontal="center"/>
    </xf>
    <xf numFmtId="44" fontId="8" fillId="0" borderId="22" xfId="2" applyNumberFormat="1" applyFont="1" applyFill="1" applyBorder="1"/>
    <xf numFmtId="44" fontId="8" fillId="0" borderId="23" xfId="2" applyNumberFormat="1" applyFont="1" applyFill="1" applyBorder="1"/>
    <xf numFmtId="44" fontId="5" fillId="0" borderId="7" xfId="0" applyNumberFormat="1" applyFont="1" applyFill="1" applyBorder="1" applyAlignment="1">
      <alignment vertical="top"/>
    </xf>
    <xf numFmtId="44" fontId="5" fillId="0" borderId="8" xfId="0" applyNumberFormat="1" applyFont="1" applyFill="1" applyBorder="1" applyAlignment="1">
      <alignment vertical="top"/>
    </xf>
    <xf numFmtId="44" fontId="0" fillId="0" borderId="24" xfId="0" applyNumberFormat="1" applyFont="1" applyBorder="1" applyAlignment="1">
      <alignment vertical="top"/>
    </xf>
    <xf numFmtId="37" fontId="5" fillId="0" borderId="25" xfId="0" applyNumberFormat="1" applyFont="1" applyBorder="1" applyAlignment="1">
      <alignment horizontal="center" vertical="top"/>
    </xf>
    <xf numFmtId="44" fontId="5" fillId="0" borderId="25" xfId="2" applyNumberFormat="1" applyFont="1" applyBorder="1" applyAlignment="1">
      <alignment vertical="top"/>
    </xf>
    <xf numFmtId="44" fontId="8" fillId="0" borderId="26" xfId="2" applyNumberFormat="1" applyFont="1" applyFill="1" applyBorder="1" applyAlignment="1">
      <alignment vertical="top"/>
    </xf>
    <xf numFmtId="44" fontId="10" fillId="0" borderId="7" xfId="0" applyNumberFormat="1" applyFont="1" applyFill="1" applyBorder="1" applyAlignment="1">
      <alignment vertical="top"/>
    </xf>
    <xf numFmtId="37" fontId="10" fillId="0" borderId="8" xfId="0" applyNumberFormat="1" applyFont="1" applyFill="1" applyBorder="1" applyAlignment="1">
      <alignment horizontal="center" vertical="top"/>
    </xf>
    <xf numFmtId="44" fontId="10" fillId="0" borderId="8" xfId="2" applyNumberFormat="1" applyFont="1" applyFill="1" applyBorder="1" applyAlignment="1">
      <alignment vertical="top"/>
    </xf>
    <xf numFmtId="44" fontId="11" fillId="0" borderId="9" xfId="2" applyNumberFormat="1" applyFont="1" applyFill="1" applyBorder="1" applyAlignment="1">
      <alignment vertical="top"/>
    </xf>
    <xf numFmtId="37" fontId="9" fillId="4" borderId="8" xfId="0" applyNumberFormat="1" applyFont="1" applyFill="1" applyBorder="1" applyAlignment="1">
      <alignment horizontal="center" vertical="top"/>
    </xf>
    <xf numFmtId="44" fontId="9" fillId="4" borderId="8" xfId="0" applyNumberFormat="1" applyFont="1" applyFill="1" applyBorder="1" applyAlignment="1">
      <alignment vertical="top"/>
    </xf>
    <xf numFmtId="44" fontId="8" fillId="4" borderId="9" xfId="0" applyNumberFormat="1" applyFont="1" applyFill="1" applyBorder="1" applyAlignment="1">
      <alignment vertical="top"/>
    </xf>
    <xf numFmtId="44" fontId="8" fillId="4" borderId="7" xfId="0" applyNumberFormat="1" applyFont="1" applyFill="1" applyBorder="1" applyAlignment="1">
      <alignment horizontal="left" vertical="top"/>
    </xf>
    <xf numFmtId="44" fontId="8" fillId="4" borderId="8" xfId="2" applyNumberFormat="1" applyFont="1" applyFill="1" applyBorder="1" applyAlignment="1">
      <alignment horizontal="center" vertical="top" wrapText="1"/>
    </xf>
    <xf numFmtId="37" fontId="5" fillId="0" borderId="25" xfId="0" applyNumberFormat="1" applyFont="1" applyFill="1" applyBorder="1" applyAlignment="1">
      <alignment horizontal="center"/>
    </xf>
    <xf numFmtId="37" fontId="5" fillId="0" borderId="5" xfId="0" applyNumberFormat="1" applyFont="1" applyFill="1" applyBorder="1" applyAlignment="1">
      <alignment horizontal="center" vertical="top"/>
    </xf>
    <xf numFmtId="37" fontId="0" fillId="0" borderId="8" xfId="0" applyNumberFormat="1" applyFont="1" applyBorder="1" applyAlignment="1">
      <alignment horizontal="center" vertical="top"/>
    </xf>
    <xf numFmtId="44" fontId="0" fillId="0" borderId="27" xfId="0" applyNumberFormat="1" applyFont="1" applyBorder="1" applyAlignment="1">
      <alignment vertical="top"/>
    </xf>
    <xf numFmtId="44" fontId="8" fillId="0" borderId="21" xfId="0" applyNumberFormat="1" applyFont="1" applyBorder="1" applyAlignment="1">
      <alignment vertical="top"/>
    </xf>
    <xf numFmtId="44" fontId="5" fillId="0" borderId="17" xfId="2" applyNumberFormat="1" applyFont="1" applyBorder="1"/>
    <xf numFmtId="44" fontId="8" fillId="0" borderId="23" xfId="2" applyNumberFormat="1" applyFont="1" applyBorder="1" applyAlignment="1">
      <alignment vertical="top"/>
    </xf>
    <xf numFmtId="0" fontId="0" fillId="5" borderId="0" xfId="0" applyFill="1" applyAlignment="1">
      <alignment horizontal="centerContinuous"/>
    </xf>
    <xf numFmtId="0" fontId="13" fillId="5" borderId="0" xfId="0" applyFont="1" applyFill="1" applyAlignment="1">
      <alignment horizontal="centerContinuous" vertical="top"/>
    </xf>
    <xf numFmtId="0" fontId="0" fillId="5" borderId="0" xfId="0" applyFont="1" applyFill="1" applyAlignment="1">
      <alignment horizontal="centerContinuous" vertical="top" wrapText="1"/>
    </xf>
    <xf numFmtId="0" fontId="0" fillId="0" borderId="0" xfId="0" applyAlignment="1">
      <alignment horizontal="center"/>
    </xf>
    <xf numFmtId="44" fontId="0" fillId="0" borderId="0" xfId="0" applyNumberFormat="1"/>
    <xf numFmtId="37" fontId="5" fillId="0" borderId="30" xfId="0" applyNumberFormat="1" applyFont="1" applyFill="1" applyBorder="1" applyAlignment="1">
      <alignment horizontal="center" vertical="top"/>
    </xf>
    <xf numFmtId="44" fontId="5" fillId="0" borderId="30" xfId="2" applyNumberFormat="1" applyFont="1" applyBorder="1" applyAlignment="1">
      <alignment vertical="top"/>
    </xf>
    <xf numFmtId="44" fontId="8" fillId="0" borderId="31" xfId="2" applyNumberFormat="1" applyFont="1" applyFill="1" applyBorder="1" applyAlignment="1">
      <alignment vertical="top"/>
    </xf>
    <xf numFmtId="0" fontId="14" fillId="0" borderId="0" xfId="0" applyFont="1"/>
    <xf numFmtId="165" fontId="14" fillId="0" borderId="0" xfId="0" applyNumberFormat="1" applyFont="1"/>
    <xf numFmtId="0" fontId="14" fillId="0" borderId="0" xfId="0" applyNumberFormat="1" applyFont="1"/>
    <xf numFmtId="44" fontId="0" fillId="0" borderId="4" xfId="0" applyNumberFormat="1" applyFont="1" applyBorder="1" applyAlignment="1">
      <alignment vertical="top"/>
    </xf>
    <xf numFmtId="44" fontId="5" fillId="6" borderId="13" xfId="0" applyNumberFormat="1" applyFont="1" applyFill="1" applyBorder="1"/>
    <xf numFmtId="37" fontId="5" fillId="6" borderId="14" xfId="0" applyNumberFormat="1" applyFont="1" applyFill="1" applyBorder="1" applyAlignment="1">
      <alignment horizontal="center"/>
    </xf>
    <xf numFmtId="44" fontId="5" fillId="6" borderId="14" xfId="2" applyNumberFormat="1" applyFont="1" applyFill="1" applyBorder="1"/>
    <xf numFmtId="44" fontId="8" fillId="6" borderId="15" xfId="2" applyNumberFormat="1" applyFont="1" applyFill="1" applyBorder="1"/>
    <xf numFmtId="37" fontId="5" fillId="6" borderId="5" xfId="0" applyNumberFormat="1" applyFont="1" applyFill="1" applyBorder="1" applyAlignment="1">
      <alignment horizontal="center" vertical="top"/>
    </xf>
    <xf numFmtId="44" fontId="5" fillId="6" borderId="5" xfId="2" applyNumberFormat="1" applyFont="1" applyFill="1" applyBorder="1" applyAlignment="1">
      <alignment vertical="top"/>
    </xf>
    <xf numFmtId="44" fontId="8" fillId="6" borderId="6" xfId="2" applyNumberFormat="1" applyFont="1" applyFill="1" applyBorder="1" applyAlignment="1">
      <alignment vertical="top"/>
    </xf>
    <xf numFmtId="37" fontId="5" fillId="6" borderId="28" xfId="0" applyNumberFormat="1" applyFont="1" applyFill="1" applyBorder="1" applyAlignment="1">
      <alignment horizontal="center" vertical="top"/>
    </xf>
    <xf numFmtId="44" fontId="5" fillId="6" borderId="28" xfId="2" applyNumberFormat="1" applyFont="1" applyFill="1" applyBorder="1" applyAlignment="1">
      <alignment vertical="top"/>
    </xf>
    <xf numFmtId="44" fontId="8" fillId="6" borderId="29" xfId="2" applyNumberFormat="1" applyFont="1" applyFill="1" applyBorder="1" applyAlignment="1">
      <alignment vertical="top"/>
    </xf>
    <xf numFmtId="37" fontId="5" fillId="6" borderId="5" xfId="0" applyNumberFormat="1" applyFont="1" applyFill="1" applyBorder="1" applyAlignment="1">
      <alignment horizontal="center"/>
    </xf>
    <xf numFmtId="44" fontId="5" fillId="6" borderId="5" xfId="2" applyNumberFormat="1" applyFont="1" applyFill="1" applyBorder="1"/>
    <xf numFmtId="44" fontId="8" fillId="6" borderId="6" xfId="2" applyNumberFormat="1" applyFont="1" applyFill="1" applyBorder="1"/>
    <xf numFmtId="37" fontId="5" fillId="6" borderId="8" xfId="0" applyNumberFormat="1" applyFont="1" applyFill="1" applyBorder="1" applyAlignment="1">
      <alignment horizontal="center"/>
    </xf>
    <xf numFmtId="44" fontId="5" fillId="6" borderId="8" xfId="2" applyNumberFormat="1" applyFont="1" applyFill="1" applyBorder="1"/>
    <xf numFmtId="44" fontId="8" fillId="6" borderId="9" xfId="2" applyNumberFormat="1" applyFont="1" applyFill="1" applyBorder="1"/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0" xfId="0" applyFont="1"/>
    <xf numFmtId="44" fontId="5" fillId="0" borderId="0" xfId="0" applyNumberFormat="1" applyFont="1"/>
    <xf numFmtId="37" fontId="5" fillId="0" borderId="0" xfId="0" applyNumberFormat="1" applyFont="1" applyAlignment="1">
      <alignment horizontal="center"/>
    </xf>
    <xf numFmtId="44" fontId="5" fillId="0" borderId="0" xfId="1" applyNumberFormat="1" applyFont="1" applyFill="1" applyBorder="1"/>
    <xf numFmtId="44" fontId="4" fillId="0" borderId="0" xfId="1" applyNumberFormat="1" applyFont="1" applyFill="1" applyBorder="1"/>
    <xf numFmtId="0" fontId="5" fillId="0" borderId="0" xfId="0" applyFont="1" applyAlignment="1">
      <alignment horizontal="left"/>
    </xf>
    <xf numFmtId="43" fontId="16" fillId="0" borderId="0" xfId="1" applyFont="1"/>
    <xf numFmtId="0" fontId="8" fillId="0" borderId="0" xfId="0" applyFont="1" applyAlignment="1">
      <alignment horizontal="left"/>
    </xf>
    <xf numFmtId="10" fontId="8" fillId="7" borderId="32" xfId="165" applyNumberFormat="1" applyFont="1" applyFill="1" applyBorder="1"/>
    <xf numFmtId="1" fontId="0" fillId="8" borderId="33" xfId="0" applyNumberFormat="1" applyFill="1" applyBorder="1"/>
    <xf numFmtId="1" fontId="0" fillId="8" borderId="34" xfId="0" applyNumberFormat="1" applyFill="1" applyBorder="1"/>
    <xf numFmtId="0" fontId="17" fillId="0" borderId="0" xfId="0" applyFont="1" applyAlignment="1">
      <alignment horizontal="center"/>
    </xf>
    <xf numFmtId="44" fontId="5" fillId="0" borderId="0" xfId="2" applyFont="1" applyFill="1" applyBorder="1"/>
    <xf numFmtId="44" fontId="4" fillId="0" borderId="0" xfId="2" applyFont="1" applyFill="1" applyBorder="1"/>
    <xf numFmtId="44" fontId="8" fillId="0" borderId="0" xfId="2" applyFont="1" applyBorder="1"/>
    <xf numFmtId="44" fontId="8" fillId="0" borderId="0" xfId="2" applyFont="1" applyFill="1" applyBorder="1"/>
    <xf numFmtId="37" fontId="5" fillId="9" borderId="8" xfId="0" applyNumberFormat="1" applyFont="1" applyFill="1" applyBorder="1" applyAlignment="1">
      <alignment horizontal="center" vertical="top"/>
    </xf>
    <xf numFmtId="44" fontId="5" fillId="9" borderId="8" xfId="2" applyNumberFormat="1" applyFont="1" applyFill="1" applyBorder="1" applyAlignment="1">
      <alignment vertical="top"/>
    </xf>
    <xf numFmtId="44" fontId="8" fillId="9" borderId="9" xfId="2" applyNumberFormat="1" applyFont="1" applyFill="1" applyBorder="1" applyAlignment="1">
      <alignment vertical="top"/>
    </xf>
    <xf numFmtId="37" fontId="5" fillId="0" borderId="30" xfId="0" applyNumberFormat="1" applyFont="1" applyBorder="1" applyAlignment="1">
      <alignment horizontal="center" vertical="top"/>
    </xf>
    <xf numFmtId="0" fontId="0" fillId="0" borderId="0" xfId="0" applyFont="1" applyFill="1" applyAlignment="1">
      <alignment horizontal="left" wrapText="1"/>
    </xf>
    <xf numFmtId="0" fontId="5" fillId="0" borderId="0" xfId="0" applyFont="1" applyBorder="1" applyAlignment="1">
      <alignment horizontal="left" wrapText="1"/>
    </xf>
    <xf numFmtId="44" fontId="5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64" fontId="0" fillId="0" borderId="0" xfId="1" applyNumberFormat="1" applyFont="1" applyBorder="1" applyAlignment="1">
      <alignment horizontal="left" wrapText="1"/>
    </xf>
    <xf numFmtId="44" fontId="5" fillId="0" borderId="0" xfId="1" applyNumberFormat="1" applyFont="1" applyFill="1" applyBorder="1" applyAlignment="1"/>
    <xf numFmtId="0" fontId="0" fillId="0" borderId="0" xfId="0" applyAlignment="1"/>
    <xf numFmtId="44" fontId="5" fillId="0" borderId="0" xfId="2" applyFont="1" applyFill="1" applyBorder="1" applyAlignment="1"/>
    <xf numFmtId="0" fontId="14" fillId="0" borderId="35" xfId="0" applyFont="1" applyBorder="1"/>
    <xf numFmtId="165" fontId="14" fillId="0" borderId="35" xfId="0" applyNumberFormat="1" applyFont="1" applyBorder="1"/>
    <xf numFmtId="0" fontId="14" fillId="0" borderId="35" xfId="0" applyNumberFormat="1" applyFont="1" applyBorder="1"/>
    <xf numFmtId="0" fontId="20" fillId="0" borderId="0" xfId="0" applyFont="1"/>
    <xf numFmtId="0" fontId="21" fillId="0" borderId="0" xfId="0" applyFont="1"/>
    <xf numFmtId="44" fontId="21" fillId="0" borderId="0" xfId="2" applyFont="1"/>
    <xf numFmtId="0" fontId="22" fillId="0" borderId="0" xfId="0" applyFont="1"/>
    <xf numFmtId="44" fontId="8" fillId="4" borderId="9" xfId="2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wrapText="1"/>
    </xf>
    <xf numFmtId="0" fontId="26" fillId="0" borderId="35" xfId="0" applyFont="1" applyBorder="1" applyAlignment="1">
      <alignment horizontal="center" wrapText="1"/>
    </xf>
    <xf numFmtId="0" fontId="26" fillId="10" borderId="35" xfId="0" applyFont="1" applyFill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166" fontId="28" fillId="0" borderId="0" xfId="0" applyNumberFormat="1" applyFont="1" applyAlignment="1">
      <alignment wrapText="1"/>
    </xf>
    <xf numFmtId="166" fontId="28" fillId="10" borderId="0" xfId="0" applyNumberFormat="1" applyFont="1" applyFill="1" applyAlignment="1">
      <alignment wrapText="1"/>
    </xf>
    <xf numFmtId="166" fontId="28" fillId="0" borderId="0" xfId="0" applyNumberFormat="1" applyFont="1" applyAlignment="1">
      <alignment horizontal="right" wrapText="1"/>
    </xf>
    <xf numFmtId="166" fontId="28" fillId="10" borderId="0" xfId="0" applyNumberFormat="1" applyFont="1" applyFill="1" applyAlignment="1">
      <alignment horizontal="right" wrapText="1"/>
    </xf>
    <xf numFmtId="0" fontId="24" fillId="0" borderId="0" xfId="0" applyFont="1" applyAlignment="1">
      <alignment horizontal="left"/>
    </xf>
    <xf numFmtId="167" fontId="27" fillId="0" borderId="36" xfId="0" applyNumberFormat="1" applyFont="1" applyBorder="1" applyAlignment="1">
      <alignment horizontal="right" wrapText="1"/>
    </xf>
    <xf numFmtId="167" fontId="27" fillId="10" borderId="36" xfId="0" applyNumberFormat="1" applyFont="1" applyFill="1" applyBorder="1" applyAlignment="1">
      <alignment horizontal="right" wrapText="1"/>
    </xf>
    <xf numFmtId="166" fontId="28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29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166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Normal" xfId="0" builtinId="0"/>
    <cellStyle name="Percent" xfId="16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88C3-0FED-C34D-AF26-D377C9117AC8}">
  <dimension ref="A1:K180"/>
  <sheetViews>
    <sheetView tabSelected="1" topLeftCell="A58" zoomScale="143" zoomScaleNormal="143" workbookViewId="0">
      <selection activeCell="L67" sqref="L67"/>
    </sheetView>
  </sheetViews>
  <sheetFormatPr baseColWidth="10" defaultColWidth="8.83203125" defaultRowHeight="15" x14ac:dyDescent="0.2"/>
  <cols>
    <col min="1" max="1" width="26.1640625" style="186" customWidth="1"/>
    <col min="2" max="9" width="15" style="186" bestFit="1" customWidth="1"/>
    <col min="10" max="10" width="14.83203125" style="186" bestFit="1" customWidth="1"/>
    <col min="11" max="11" width="26.1640625" style="186" customWidth="1"/>
    <col min="12" max="16384" width="8.83203125" style="186"/>
  </cols>
  <sheetData>
    <row r="1" spans="1:11" ht="18" x14ac:dyDescent="0.2">
      <c r="A1" s="202" t="s">
        <v>127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1" ht="18" x14ac:dyDescent="0.2">
      <c r="A2" s="202" t="s">
        <v>332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1" x14ac:dyDescent="0.2">
      <c r="A3" s="204" t="s">
        <v>128</v>
      </c>
      <c r="B3" s="203"/>
      <c r="C3" s="203"/>
      <c r="D3" s="203"/>
      <c r="E3" s="203"/>
      <c r="F3" s="203"/>
      <c r="G3" s="203"/>
      <c r="H3" s="203"/>
      <c r="I3" s="203"/>
      <c r="J3" s="203"/>
    </row>
    <row r="5" spans="1:11" x14ac:dyDescent="0.2">
      <c r="A5" s="187"/>
      <c r="B5" s="188" t="s">
        <v>129</v>
      </c>
      <c r="C5" s="188" t="s">
        <v>130</v>
      </c>
      <c r="D5" s="188" t="s">
        <v>131</v>
      </c>
      <c r="E5" s="188" t="s">
        <v>132</v>
      </c>
      <c r="F5" s="188" t="s">
        <v>133</v>
      </c>
      <c r="G5" s="188" t="s">
        <v>134</v>
      </c>
      <c r="H5" s="188" t="s">
        <v>135</v>
      </c>
      <c r="I5" s="188" t="s">
        <v>136</v>
      </c>
      <c r="J5" s="189" t="s">
        <v>137</v>
      </c>
      <c r="K5" s="190" t="s">
        <v>138</v>
      </c>
    </row>
    <row r="6" spans="1:11" x14ac:dyDescent="0.2">
      <c r="A6" s="191" t="s">
        <v>139</v>
      </c>
      <c r="B6" s="192"/>
      <c r="C6" s="192"/>
      <c r="D6" s="192"/>
      <c r="E6" s="192"/>
      <c r="F6" s="192"/>
      <c r="G6" s="192"/>
      <c r="H6" s="192"/>
      <c r="I6" s="192"/>
      <c r="J6" s="193"/>
    </row>
    <row r="7" spans="1:11" x14ac:dyDescent="0.2">
      <c r="A7" s="191" t="s">
        <v>140</v>
      </c>
      <c r="B7" s="192"/>
      <c r="C7" s="192"/>
      <c r="D7" s="192"/>
      <c r="E7" s="192"/>
      <c r="F7" s="192"/>
      <c r="G7" s="192"/>
      <c r="H7" s="192"/>
      <c r="I7" s="192"/>
      <c r="J7" s="193"/>
    </row>
    <row r="8" spans="1:11" x14ac:dyDescent="0.2">
      <c r="A8" s="191" t="s">
        <v>141</v>
      </c>
      <c r="B8" s="192"/>
      <c r="C8" s="192"/>
      <c r="D8" s="192"/>
      <c r="E8" s="192"/>
      <c r="F8" s="192"/>
      <c r="G8" s="192"/>
      <c r="H8" s="192"/>
      <c r="I8" s="192"/>
      <c r="J8" s="193"/>
    </row>
    <row r="9" spans="1:11" x14ac:dyDescent="0.2">
      <c r="A9" s="191" t="s">
        <v>142</v>
      </c>
      <c r="B9" s="192"/>
      <c r="C9" s="192"/>
      <c r="D9" s="192"/>
      <c r="E9" s="192"/>
      <c r="F9" s="192"/>
      <c r="G9" s="192"/>
      <c r="H9" s="192"/>
      <c r="I9" s="192"/>
      <c r="J9" s="193"/>
      <c r="K9" s="201"/>
    </row>
    <row r="10" spans="1:11" x14ac:dyDescent="0.2">
      <c r="A10" s="191" t="s">
        <v>143</v>
      </c>
      <c r="B10" s="194">
        <f>8240</f>
        <v>8240</v>
      </c>
      <c r="C10" s="194">
        <f>8695</f>
        <v>8695</v>
      </c>
      <c r="D10" s="194">
        <f>9458.75</f>
        <v>9458.75</v>
      </c>
      <c r="E10" s="194">
        <f>16686.25</f>
        <v>16686.25</v>
      </c>
      <c r="F10" s="194">
        <f>14785</f>
        <v>14785</v>
      </c>
      <c r="G10" s="194">
        <f>12690</f>
        <v>12690</v>
      </c>
      <c r="H10" s="194">
        <f>28457.5</f>
        <v>28457.5</v>
      </c>
      <c r="I10" s="194">
        <f>26323.5</f>
        <v>26323.5</v>
      </c>
      <c r="J10" s="195">
        <v>32868</v>
      </c>
      <c r="K10" s="186" t="s">
        <v>323</v>
      </c>
    </row>
    <row r="11" spans="1:11" x14ac:dyDescent="0.2">
      <c r="A11" s="191" t="s">
        <v>144</v>
      </c>
      <c r="B11" s="194">
        <f>7625</f>
        <v>7625</v>
      </c>
      <c r="C11" s="194">
        <f>3120</f>
        <v>3120</v>
      </c>
      <c r="D11" s="194">
        <f>13260</f>
        <v>13260</v>
      </c>
      <c r="E11" s="194">
        <f>4940</f>
        <v>4940</v>
      </c>
      <c r="F11" s="194">
        <f>2600</f>
        <v>2600</v>
      </c>
      <c r="G11" s="194">
        <f>3185</f>
        <v>3185</v>
      </c>
      <c r="H11" s="194">
        <f>7825</f>
        <v>7825</v>
      </c>
      <c r="I11" s="194">
        <f>3510</f>
        <v>3510</v>
      </c>
      <c r="J11" s="195">
        <v>2959</v>
      </c>
      <c r="K11" s="196">
        <v>11</v>
      </c>
    </row>
    <row r="12" spans="1:11" x14ac:dyDescent="0.2">
      <c r="A12" s="191" t="s">
        <v>145</v>
      </c>
      <c r="B12" s="194">
        <f>1995</f>
        <v>1995</v>
      </c>
      <c r="C12" s="194">
        <f>2065</f>
        <v>2065</v>
      </c>
      <c r="D12" s="194">
        <f>1770</f>
        <v>1770</v>
      </c>
      <c r="E12" s="194">
        <f>2065</f>
        <v>2065</v>
      </c>
      <c r="F12" s="194">
        <f>2415</f>
        <v>2415</v>
      </c>
      <c r="G12" s="194">
        <f>310</f>
        <v>310</v>
      </c>
      <c r="H12" s="194">
        <f>310</f>
        <v>310</v>
      </c>
      <c r="I12" s="194">
        <f>2880</f>
        <v>2880</v>
      </c>
      <c r="J12" s="195">
        <v>3289</v>
      </c>
      <c r="K12" s="196">
        <v>11</v>
      </c>
    </row>
    <row r="13" spans="1:11" x14ac:dyDescent="0.2">
      <c r="A13" s="191" t="s">
        <v>146</v>
      </c>
      <c r="B13" s="197">
        <f t="shared" ref="B13:I13" si="0">(((B9)+(B10))+(B11))+(B12)</f>
        <v>17860</v>
      </c>
      <c r="C13" s="197">
        <f t="shared" si="0"/>
        <v>13880</v>
      </c>
      <c r="D13" s="197">
        <f t="shared" si="0"/>
        <v>24488.75</v>
      </c>
      <c r="E13" s="197">
        <f t="shared" si="0"/>
        <v>23691.25</v>
      </c>
      <c r="F13" s="197">
        <f t="shared" si="0"/>
        <v>19800</v>
      </c>
      <c r="G13" s="197">
        <f t="shared" si="0"/>
        <v>16185</v>
      </c>
      <c r="H13" s="197">
        <f t="shared" si="0"/>
        <v>36592.5</v>
      </c>
      <c r="I13" s="197">
        <f t="shared" si="0"/>
        <v>32713.5</v>
      </c>
      <c r="J13" s="198">
        <f>((J10*(J9)+(J10))+(J11))+(J12)</f>
        <v>39116</v>
      </c>
    </row>
    <row r="14" spans="1:11" x14ac:dyDescent="0.2">
      <c r="A14" s="191" t="s">
        <v>147</v>
      </c>
      <c r="B14" s="192"/>
      <c r="C14" s="192"/>
      <c r="D14" s="192"/>
      <c r="E14" s="192"/>
      <c r="F14" s="192"/>
      <c r="G14" s="192"/>
      <c r="H14" s="192"/>
      <c r="I14" s="192"/>
      <c r="J14" s="193"/>
    </row>
    <row r="15" spans="1:11" x14ac:dyDescent="0.2">
      <c r="A15" s="191" t="s">
        <v>148</v>
      </c>
      <c r="B15" s="194">
        <f>68800</f>
        <v>68800</v>
      </c>
      <c r="C15" s="194">
        <f>71555</f>
        <v>71555</v>
      </c>
      <c r="D15" s="194">
        <f>74837.5</f>
        <v>74837.5</v>
      </c>
      <c r="E15" s="194">
        <f>97340</f>
        <v>97340</v>
      </c>
      <c r="F15" s="194">
        <f>104820.5</f>
        <v>104820.5</v>
      </c>
      <c r="G15" s="194">
        <f>112562.5</f>
        <v>112562.5</v>
      </c>
      <c r="H15" s="194">
        <f>84871.25</f>
        <v>84871.25</v>
      </c>
      <c r="I15" s="194">
        <f>116660</f>
        <v>116660</v>
      </c>
      <c r="J15" s="195">
        <v>125967</v>
      </c>
      <c r="K15" s="196">
        <v>633</v>
      </c>
    </row>
    <row r="16" spans="1:11" x14ac:dyDescent="0.2">
      <c r="A16" s="191" t="s">
        <v>149</v>
      </c>
      <c r="B16" s="194">
        <f>16540</f>
        <v>16540</v>
      </c>
      <c r="C16" s="194">
        <f>14892.5</f>
        <v>14892.5</v>
      </c>
      <c r="D16" s="194">
        <f>18025</f>
        <v>18025</v>
      </c>
      <c r="E16" s="194">
        <f>20187.5</f>
        <v>20187.5</v>
      </c>
      <c r="F16" s="194">
        <f>14820</f>
        <v>14820</v>
      </c>
      <c r="G16" s="194">
        <f>15753.75</f>
        <v>15753.75</v>
      </c>
      <c r="H16" s="194">
        <f>19100</f>
        <v>19100</v>
      </c>
      <c r="I16" s="194">
        <f>8891.25</f>
        <v>8891.25</v>
      </c>
      <c r="J16" s="195">
        <v>8541</v>
      </c>
      <c r="K16" s="196">
        <v>39</v>
      </c>
    </row>
    <row r="17" spans="1:11" x14ac:dyDescent="0.2">
      <c r="A17" s="191" t="s">
        <v>150</v>
      </c>
      <c r="B17" s="194">
        <f>5750</f>
        <v>5750</v>
      </c>
      <c r="C17" s="194">
        <f>7430</f>
        <v>7430</v>
      </c>
      <c r="D17" s="194">
        <f>9600</f>
        <v>9600</v>
      </c>
      <c r="E17" s="194">
        <f>8640</f>
        <v>8640</v>
      </c>
      <c r="F17" s="194">
        <f>7841</f>
        <v>7841</v>
      </c>
      <c r="G17" s="194">
        <f>4165</f>
        <v>4165</v>
      </c>
      <c r="H17" s="194">
        <f>5635</f>
        <v>5635</v>
      </c>
      <c r="I17" s="194">
        <f>5610</f>
        <v>5610</v>
      </c>
      <c r="J17" s="195">
        <v>5258</v>
      </c>
      <c r="K17" s="196">
        <v>22</v>
      </c>
    </row>
    <row r="18" spans="1:11" x14ac:dyDescent="0.2">
      <c r="A18" s="191" t="s">
        <v>151</v>
      </c>
      <c r="B18" s="197">
        <f t="shared" ref="B18:J18" si="1">(((B14)+(B15))+(B16))+(B17)</f>
        <v>91090</v>
      </c>
      <c r="C18" s="197">
        <f t="shared" si="1"/>
        <v>93877.5</v>
      </c>
      <c r="D18" s="197">
        <f t="shared" si="1"/>
        <v>102462.5</v>
      </c>
      <c r="E18" s="197">
        <f t="shared" si="1"/>
        <v>126167.5</v>
      </c>
      <c r="F18" s="197">
        <f t="shared" si="1"/>
        <v>127481.5</v>
      </c>
      <c r="G18" s="197">
        <f t="shared" si="1"/>
        <v>132481.25</v>
      </c>
      <c r="H18" s="197">
        <f t="shared" si="1"/>
        <v>109606.25</v>
      </c>
      <c r="I18" s="197">
        <f t="shared" si="1"/>
        <v>131161.25</v>
      </c>
      <c r="J18" s="198">
        <f t="shared" si="1"/>
        <v>139766</v>
      </c>
    </row>
    <row r="19" spans="1:11" ht="25" x14ac:dyDescent="0.2">
      <c r="A19" s="191" t="s">
        <v>152</v>
      </c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1" x14ac:dyDescent="0.2">
      <c r="A20" s="191" t="s">
        <v>153</v>
      </c>
      <c r="B20" s="194">
        <f>3797.5</f>
        <v>3797.5</v>
      </c>
      <c r="C20" s="194">
        <f>6260</f>
        <v>6260</v>
      </c>
      <c r="D20" s="194">
        <f>6590</f>
        <v>6590</v>
      </c>
      <c r="E20" s="194">
        <f>8530</f>
        <v>8530</v>
      </c>
      <c r="F20" s="194">
        <f>9000</f>
        <v>9000</v>
      </c>
      <c r="G20" s="194">
        <f>10260</f>
        <v>10260</v>
      </c>
      <c r="H20" s="194">
        <f>8640</f>
        <v>8640</v>
      </c>
      <c r="I20" s="194">
        <f>11140</f>
        <v>11140</v>
      </c>
      <c r="J20" s="195">
        <v>11979</v>
      </c>
      <c r="K20" s="196">
        <v>121</v>
      </c>
    </row>
    <row r="21" spans="1:11" x14ac:dyDescent="0.2">
      <c r="A21" s="191" t="s">
        <v>154</v>
      </c>
      <c r="B21" s="194">
        <f>1672</f>
        <v>1672</v>
      </c>
      <c r="C21" s="194">
        <f>1274</f>
        <v>1274</v>
      </c>
      <c r="D21" s="194">
        <f>1150.5</f>
        <v>1150.5</v>
      </c>
      <c r="E21" s="194">
        <f>1788.5</f>
        <v>1788.5</v>
      </c>
      <c r="F21" s="194">
        <f>1260</f>
        <v>1260</v>
      </c>
      <c r="G21" s="194">
        <f>1575</f>
        <v>1575</v>
      </c>
      <c r="H21" s="194">
        <f>2420</f>
        <v>2420</v>
      </c>
      <c r="I21" s="194">
        <f>1035</f>
        <v>1035</v>
      </c>
      <c r="J21" s="195">
        <v>1309</v>
      </c>
      <c r="K21" s="196">
        <v>11</v>
      </c>
    </row>
    <row r="22" spans="1:11" x14ac:dyDescent="0.2">
      <c r="A22" s="191" t="s">
        <v>155</v>
      </c>
      <c r="B22" s="194">
        <f>1495</f>
        <v>1495</v>
      </c>
      <c r="C22" s="194">
        <f>500</f>
        <v>500</v>
      </c>
      <c r="D22" s="194">
        <f>2225</f>
        <v>2225</v>
      </c>
      <c r="E22" s="194">
        <f>1875</f>
        <v>1875</v>
      </c>
      <c r="F22" s="194">
        <f>2480</f>
        <v>2480</v>
      </c>
      <c r="G22" s="194">
        <f>465</f>
        <v>465</v>
      </c>
      <c r="H22" s="194">
        <f>570</f>
        <v>570</v>
      </c>
      <c r="I22" s="194">
        <f>825</f>
        <v>825</v>
      </c>
      <c r="J22" s="195">
        <v>834</v>
      </c>
      <c r="K22" s="196">
        <v>6</v>
      </c>
    </row>
    <row r="23" spans="1:11" ht="25" x14ac:dyDescent="0.2">
      <c r="A23" s="191" t="s">
        <v>156</v>
      </c>
      <c r="B23" s="197">
        <f t="shared" ref="B23:J23" si="2">(((B19)+(B20))+(B21))+(B22)</f>
        <v>6964.5</v>
      </c>
      <c r="C23" s="197">
        <f t="shared" si="2"/>
        <v>8034</v>
      </c>
      <c r="D23" s="197">
        <f t="shared" si="2"/>
        <v>9965.5</v>
      </c>
      <c r="E23" s="197">
        <f t="shared" si="2"/>
        <v>12193.5</v>
      </c>
      <c r="F23" s="197">
        <f t="shared" si="2"/>
        <v>12740</v>
      </c>
      <c r="G23" s="197">
        <f t="shared" si="2"/>
        <v>12300</v>
      </c>
      <c r="H23" s="197">
        <f t="shared" si="2"/>
        <v>11630</v>
      </c>
      <c r="I23" s="197">
        <f t="shared" si="2"/>
        <v>13000</v>
      </c>
      <c r="J23" s="198">
        <f t="shared" si="2"/>
        <v>14122</v>
      </c>
    </row>
    <row r="24" spans="1:11" ht="25" x14ac:dyDescent="0.2">
      <c r="A24" s="191" t="s">
        <v>157</v>
      </c>
      <c r="B24" s="192"/>
      <c r="C24" s="192"/>
      <c r="D24" s="192"/>
      <c r="E24" s="192"/>
      <c r="F24" s="192"/>
      <c r="G24" s="192"/>
      <c r="H24" s="192"/>
      <c r="I24" s="194">
        <f>3960</f>
        <v>3960</v>
      </c>
      <c r="J24" s="195">
        <v>1080</v>
      </c>
      <c r="K24" s="196">
        <v>6</v>
      </c>
    </row>
    <row r="25" spans="1:11" x14ac:dyDescent="0.2">
      <c r="A25" s="191" t="s">
        <v>158</v>
      </c>
      <c r="B25" s="197">
        <f t="shared" ref="B25:J25" si="3">((((B8)+(B13))+(B18))+(B23))+(B24)</f>
        <v>115914.5</v>
      </c>
      <c r="C25" s="197">
        <f t="shared" si="3"/>
        <v>115791.5</v>
      </c>
      <c r="D25" s="197">
        <f t="shared" si="3"/>
        <v>136916.75</v>
      </c>
      <c r="E25" s="197">
        <f t="shared" si="3"/>
        <v>162052.25</v>
      </c>
      <c r="F25" s="197">
        <f t="shared" si="3"/>
        <v>160021.5</v>
      </c>
      <c r="G25" s="197">
        <f t="shared" si="3"/>
        <v>160966.25</v>
      </c>
      <c r="H25" s="197">
        <f t="shared" si="3"/>
        <v>157828.75</v>
      </c>
      <c r="I25" s="197">
        <f t="shared" si="3"/>
        <v>180834.75</v>
      </c>
      <c r="J25" s="198">
        <f t="shared" si="3"/>
        <v>194084</v>
      </c>
    </row>
    <row r="26" spans="1:11" x14ac:dyDescent="0.2">
      <c r="A26" s="191" t="s">
        <v>159</v>
      </c>
      <c r="B26" s="192"/>
      <c r="C26" s="192"/>
      <c r="D26" s="192"/>
      <c r="E26" s="192"/>
      <c r="F26" s="192"/>
      <c r="G26" s="192"/>
      <c r="H26" s="192"/>
      <c r="I26" s="192"/>
      <c r="J26" s="193"/>
    </row>
    <row r="27" spans="1:11" x14ac:dyDescent="0.2">
      <c r="A27" s="191" t="s">
        <v>160</v>
      </c>
      <c r="B27" s="194">
        <f>23035</f>
        <v>23035</v>
      </c>
      <c r="C27" s="194">
        <f>17833.25</f>
        <v>17833.25</v>
      </c>
      <c r="D27" s="194">
        <f>22670</f>
        <v>22670</v>
      </c>
      <c r="E27" s="194">
        <f>19520</f>
        <v>19520</v>
      </c>
      <c r="F27" s="194">
        <f>18690</f>
        <v>18690</v>
      </c>
      <c r="G27" s="194">
        <f>16120</f>
        <v>16120</v>
      </c>
      <c r="H27" s="194">
        <f>19324.99</f>
        <v>19324.990000000002</v>
      </c>
      <c r="I27" s="194">
        <f>15870</f>
        <v>15870</v>
      </c>
      <c r="J27" s="195">
        <v>14000</v>
      </c>
    </row>
    <row r="28" spans="1:11" x14ac:dyDescent="0.2">
      <c r="A28" s="191" t="s">
        <v>161</v>
      </c>
      <c r="B28" s="192"/>
      <c r="C28" s="194">
        <f>7385</f>
        <v>7385</v>
      </c>
      <c r="D28" s="194">
        <f>5919</f>
        <v>5919</v>
      </c>
      <c r="E28" s="192"/>
      <c r="F28" s="192"/>
      <c r="G28" s="192"/>
      <c r="H28" s="192"/>
      <c r="I28" s="192"/>
      <c r="J28" s="193">
        <v>650</v>
      </c>
    </row>
    <row r="29" spans="1:11" x14ac:dyDescent="0.2">
      <c r="A29" s="191" t="s">
        <v>162</v>
      </c>
      <c r="B29" s="194">
        <f>34600</f>
        <v>34600</v>
      </c>
      <c r="C29" s="194">
        <f>31600</f>
        <v>31600</v>
      </c>
      <c r="D29" s="194">
        <f>21000</f>
        <v>21000</v>
      </c>
      <c r="E29" s="194">
        <f>21500</f>
        <v>21500</v>
      </c>
      <c r="F29" s="194">
        <f>19000</f>
        <v>19000</v>
      </c>
      <c r="G29" s="194">
        <f>25999.93</f>
        <v>25999.93</v>
      </c>
      <c r="H29" s="194">
        <f>26000</f>
        <v>26000</v>
      </c>
      <c r="I29" s="194">
        <f>30655</f>
        <v>30655</v>
      </c>
      <c r="J29" s="195">
        <v>25000</v>
      </c>
    </row>
    <row r="30" spans="1:11" x14ac:dyDescent="0.2">
      <c r="A30" s="191" t="s">
        <v>163</v>
      </c>
      <c r="B30" s="194">
        <f>3425</f>
        <v>3425</v>
      </c>
      <c r="C30" s="194">
        <f>3610</f>
        <v>3610</v>
      </c>
      <c r="D30" s="194">
        <f>4655</f>
        <v>4655</v>
      </c>
      <c r="E30" s="194">
        <f>3702.5</f>
        <v>3702.5</v>
      </c>
      <c r="F30" s="194">
        <f>2420</f>
        <v>2420</v>
      </c>
      <c r="G30" s="192"/>
      <c r="H30" s="194">
        <f>0</f>
        <v>0</v>
      </c>
      <c r="I30" s="192"/>
      <c r="J30" s="193"/>
    </row>
    <row r="31" spans="1:11" x14ac:dyDescent="0.2">
      <c r="A31" s="191" t="s">
        <v>164</v>
      </c>
      <c r="B31" s="194">
        <f>1050</f>
        <v>1050</v>
      </c>
      <c r="C31" s="194">
        <f>1555</f>
        <v>1555</v>
      </c>
      <c r="D31" s="194">
        <f>1927</f>
        <v>1927</v>
      </c>
      <c r="E31" s="194">
        <f>164.17</f>
        <v>164.17</v>
      </c>
      <c r="F31" s="194">
        <f>1470</f>
        <v>1470</v>
      </c>
      <c r="G31" s="194">
        <f>2450</f>
        <v>2450</v>
      </c>
      <c r="H31" s="194">
        <f>0</f>
        <v>0</v>
      </c>
      <c r="I31" s="194">
        <f>214.5</f>
        <v>214.5</v>
      </c>
      <c r="J31" s="195">
        <v>1000</v>
      </c>
    </row>
    <row r="32" spans="1:11" x14ac:dyDescent="0.2">
      <c r="A32" s="191" t="s">
        <v>165</v>
      </c>
      <c r="B32" s="194">
        <f>0</f>
        <v>0</v>
      </c>
      <c r="C32" s="192"/>
      <c r="D32" s="194">
        <f>0</f>
        <v>0</v>
      </c>
      <c r="E32" s="194">
        <f>0</f>
        <v>0</v>
      </c>
      <c r="F32" s="194">
        <f>0</f>
        <v>0</v>
      </c>
      <c r="G32" s="194">
        <f>0</f>
        <v>0</v>
      </c>
      <c r="H32" s="194">
        <f>1856</f>
        <v>1856</v>
      </c>
      <c r="I32" s="194">
        <f>1081.2</f>
        <v>1081.2</v>
      </c>
      <c r="J32" s="195">
        <v>0</v>
      </c>
    </row>
    <row r="33" spans="1:11" x14ac:dyDescent="0.2">
      <c r="A33" s="191" t="s">
        <v>166</v>
      </c>
      <c r="B33" s="194">
        <f>1355.5</f>
        <v>1355.5</v>
      </c>
      <c r="C33" s="194">
        <f>826</f>
        <v>826</v>
      </c>
      <c r="D33" s="194">
        <f>295</f>
        <v>295</v>
      </c>
      <c r="E33" s="194">
        <f>585</f>
        <v>585</v>
      </c>
      <c r="F33" s="194">
        <f>0</f>
        <v>0</v>
      </c>
      <c r="G33" s="194">
        <f>545</f>
        <v>545</v>
      </c>
      <c r="H33" s="192"/>
      <c r="I33" s="194">
        <f>885</f>
        <v>885</v>
      </c>
      <c r="J33" s="195">
        <v>0</v>
      </c>
    </row>
    <row r="34" spans="1:11" x14ac:dyDescent="0.2">
      <c r="A34" s="191" t="s">
        <v>167</v>
      </c>
      <c r="B34" s="192"/>
      <c r="C34" s="192"/>
      <c r="D34" s="192"/>
      <c r="E34" s="194">
        <f>0</f>
        <v>0</v>
      </c>
      <c r="F34" s="192"/>
      <c r="G34" s="194">
        <f>2820</f>
        <v>2820</v>
      </c>
      <c r="H34" s="194">
        <f>240</f>
        <v>240</v>
      </c>
      <c r="I34" s="194">
        <f>540</f>
        <v>540</v>
      </c>
      <c r="J34" s="195">
        <v>0</v>
      </c>
    </row>
    <row r="35" spans="1:11" x14ac:dyDescent="0.2">
      <c r="A35" s="191" t="s">
        <v>168</v>
      </c>
      <c r="B35" s="192"/>
      <c r="C35" s="192"/>
      <c r="D35" s="192"/>
      <c r="E35" s="192"/>
      <c r="F35" s="194">
        <f>5000</f>
        <v>5000</v>
      </c>
      <c r="G35" s="194">
        <f>5000</f>
        <v>5000</v>
      </c>
      <c r="H35" s="194">
        <f>5000</f>
        <v>5000</v>
      </c>
      <c r="I35" s="194">
        <f>5000</f>
        <v>5000</v>
      </c>
      <c r="J35" s="195">
        <v>5000</v>
      </c>
    </row>
    <row r="36" spans="1:11" x14ac:dyDescent="0.2">
      <c r="A36" s="191" t="s">
        <v>169</v>
      </c>
      <c r="B36" s="197">
        <f t="shared" ref="B36:J36" si="4">(((((((((B26)+(B27))+(B28))+(B29))+(B30))+(B31))+(B32))+(B33))+(B34))+(B35)</f>
        <v>63465.5</v>
      </c>
      <c r="C36" s="197">
        <f t="shared" si="4"/>
        <v>62809.25</v>
      </c>
      <c r="D36" s="197">
        <f t="shared" si="4"/>
        <v>56466</v>
      </c>
      <c r="E36" s="197">
        <f t="shared" si="4"/>
        <v>45471.67</v>
      </c>
      <c r="F36" s="197">
        <f t="shared" si="4"/>
        <v>46580</v>
      </c>
      <c r="G36" s="197">
        <f t="shared" si="4"/>
        <v>52934.93</v>
      </c>
      <c r="H36" s="197">
        <f t="shared" si="4"/>
        <v>52420.990000000005</v>
      </c>
      <c r="I36" s="197">
        <f t="shared" si="4"/>
        <v>54245.7</v>
      </c>
      <c r="J36" s="198">
        <f t="shared" si="4"/>
        <v>45650</v>
      </c>
    </row>
    <row r="37" spans="1:11" ht="25" x14ac:dyDescent="0.2">
      <c r="A37" s="191" t="s">
        <v>170</v>
      </c>
      <c r="B37" s="192"/>
      <c r="C37" s="192"/>
      <c r="D37" s="192"/>
      <c r="E37" s="192"/>
      <c r="F37" s="192"/>
      <c r="G37" s="192"/>
      <c r="H37" s="194">
        <f>0</f>
        <v>0</v>
      </c>
      <c r="I37" s="192"/>
      <c r="J37" s="193"/>
    </row>
    <row r="38" spans="1:11" ht="32" x14ac:dyDescent="0.2">
      <c r="A38" s="191" t="s">
        <v>171</v>
      </c>
      <c r="B38" s="194">
        <f>3500</f>
        <v>3500</v>
      </c>
      <c r="C38" s="194">
        <f>2450</f>
        <v>2450</v>
      </c>
      <c r="D38" s="194">
        <f>1600</f>
        <v>1600</v>
      </c>
      <c r="E38" s="194">
        <f>5660</f>
        <v>5660</v>
      </c>
      <c r="F38" s="194">
        <f>4062.5</f>
        <v>4062.5</v>
      </c>
      <c r="G38" s="194">
        <f>1000</f>
        <v>1000</v>
      </c>
      <c r="H38" s="194">
        <f>5512.5</f>
        <v>5512.5</v>
      </c>
      <c r="I38" s="194">
        <f>6940</f>
        <v>6940</v>
      </c>
      <c r="J38" s="195">
        <v>4790</v>
      </c>
      <c r="K38" s="187" t="s">
        <v>334</v>
      </c>
    </row>
    <row r="39" spans="1:11" x14ac:dyDescent="0.2">
      <c r="A39" s="191" t="s">
        <v>172</v>
      </c>
      <c r="B39" s="194">
        <f>5925</f>
        <v>5925</v>
      </c>
      <c r="C39" s="194">
        <f>5637.5</f>
        <v>5637.5</v>
      </c>
      <c r="D39" s="194">
        <f>11140</f>
        <v>11140</v>
      </c>
      <c r="E39" s="192"/>
      <c r="F39" s="194">
        <f>7125</f>
        <v>7125</v>
      </c>
      <c r="G39" s="194">
        <f>8736</f>
        <v>8736</v>
      </c>
      <c r="H39" s="194">
        <f>3200</f>
        <v>3200</v>
      </c>
      <c r="I39" s="192"/>
      <c r="J39" s="193">
        <v>325</v>
      </c>
    </row>
    <row r="40" spans="1:11" x14ac:dyDescent="0.2">
      <c r="A40" s="191" t="s">
        <v>173</v>
      </c>
      <c r="B40" s="192"/>
      <c r="C40" s="192"/>
      <c r="D40" s="192"/>
      <c r="E40" s="192"/>
      <c r="F40" s="192"/>
      <c r="G40" s="194">
        <f>833.75</f>
        <v>833.75</v>
      </c>
      <c r="H40" s="194">
        <f>275</f>
        <v>275</v>
      </c>
      <c r="I40" s="192"/>
      <c r="J40" s="193"/>
    </row>
    <row r="41" spans="1:11" ht="48" x14ac:dyDescent="0.2">
      <c r="A41" s="191" t="s">
        <v>174</v>
      </c>
      <c r="B41" s="197">
        <f t="shared" ref="B41:J41" si="5">(((B37)+(B38))+(B39))+(B40)</f>
        <v>9425</v>
      </c>
      <c r="C41" s="197">
        <f t="shared" si="5"/>
        <v>8087.5</v>
      </c>
      <c r="D41" s="197">
        <f t="shared" si="5"/>
        <v>12740</v>
      </c>
      <c r="E41" s="197">
        <f t="shared" si="5"/>
        <v>5660</v>
      </c>
      <c r="F41" s="197">
        <f t="shared" si="5"/>
        <v>11187.5</v>
      </c>
      <c r="G41" s="197">
        <f t="shared" si="5"/>
        <v>10569.75</v>
      </c>
      <c r="H41" s="197">
        <f t="shared" si="5"/>
        <v>8987.5</v>
      </c>
      <c r="I41" s="197">
        <f t="shared" si="5"/>
        <v>6940</v>
      </c>
      <c r="J41" s="198">
        <f t="shared" si="5"/>
        <v>5115</v>
      </c>
      <c r="K41" s="187" t="s">
        <v>335</v>
      </c>
    </row>
    <row r="42" spans="1:11" x14ac:dyDescent="0.2">
      <c r="A42" s="191" t="s">
        <v>175</v>
      </c>
      <c r="B42" s="197">
        <f t="shared" ref="B42:J42" si="6">(((B7)+(B25))+(B36))+(B41)</f>
        <v>188805</v>
      </c>
      <c r="C42" s="197">
        <f t="shared" si="6"/>
        <v>186688.25</v>
      </c>
      <c r="D42" s="197">
        <f t="shared" si="6"/>
        <v>206122.75</v>
      </c>
      <c r="E42" s="197">
        <f t="shared" si="6"/>
        <v>213183.91999999998</v>
      </c>
      <c r="F42" s="197">
        <f t="shared" si="6"/>
        <v>217789</v>
      </c>
      <c r="G42" s="197">
        <f t="shared" si="6"/>
        <v>224470.93</v>
      </c>
      <c r="H42" s="197">
        <f t="shared" si="6"/>
        <v>219237.24</v>
      </c>
      <c r="I42" s="197">
        <f t="shared" si="6"/>
        <v>242020.45</v>
      </c>
      <c r="J42" s="198">
        <f t="shared" si="6"/>
        <v>244849</v>
      </c>
    </row>
    <row r="43" spans="1:11" x14ac:dyDescent="0.2">
      <c r="A43" s="191" t="s">
        <v>176</v>
      </c>
      <c r="B43" s="192"/>
      <c r="C43" s="192"/>
      <c r="D43" s="192"/>
      <c r="E43" s="192"/>
      <c r="F43" s="192"/>
      <c r="G43" s="192"/>
      <c r="H43" s="192"/>
      <c r="I43" s="192"/>
      <c r="J43" s="193"/>
    </row>
    <row r="44" spans="1:11" x14ac:dyDescent="0.2">
      <c r="A44" s="191" t="s">
        <v>177</v>
      </c>
      <c r="B44" s="194">
        <f>1285</f>
        <v>1285</v>
      </c>
      <c r="C44" s="192"/>
      <c r="D44" s="194">
        <f>590</f>
        <v>590</v>
      </c>
      <c r="E44" s="192"/>
      <c r="F44" s="192"/>
      <c r="G44" s="192"/>
      <c r="H44" s="194">
        <f>0</f>
        <v>0</v>
      </c>
      <c r="I44" s="192"/>
      <c r="J44" s="193"/>
    </row>
    <row r="45" spans="1:11" x14ac:dyDescent="0.2">
      <c r="A45" s="191" t="s">
        <v>178</v>
      </c>
      <c r="B45" s="194">
        <f>5161</f>
        <v>5161</v>
      </c>
      <c r="C45" s="194">
        <f>5192</f>
        <v>5192</v>
      </c>
      <c r="D45" s="194">
        <f>5074</f>
        <v>5074</v>
      </c>
      <c r="E45" s="194">
        <f>5213</f>
        <v>5213</v>
      </c>
      <c r="F45" s="194">
        <f>2020</f>
        <v>2020</v>
      </c>
      <c r="G45" s="194">
        <f>2085</f>
        <v>2085</v>
      </c>
      <c r="H45" s="194">
        <f>2176</f>
        <v>2176</v>
      </c>
      <c r="I45" s="194">
        <f>3555.2</f>
        <v>3555.2</v>
      </c>
      <c r="J45" s="195">
        <v>2000</v>
      </c>
      <c r="K45" s="186" t="s">
        <v>318</v>
      </c>
    </row>
    <row r="46" spans="1:11" x14ac:dyDescent="0.2">
      <c r="A46" s="191" t="s">
        <v>179</v>
      </c>
      <c r="B46" s="192"/>
      <c r="C46" s="192"/>
      <c r="D46" s="194">
        <f>500</f>
        <v>500</v>
      </c>
      <c r="E46" s="192"/>
      <c r="F46" s="192"/>
      <c r="G46" s="192"/>
      <c r="H46" s="192"/>
      <c r="I46" s="192"/>
      <c r="J46" s="193"/>
    </row>
    <row r="47" spans="1:11" x14ac:dyDescent="0.2">
      <c r="A47" s="191" t="s">
        <v>180</v>
      </c>
      <c r="B47" s="194">
        <f>960</f>
        <v>960</v>
      </c>
      <c r="C47" s="194">
        <f>1782.83</f>
        <v>1782.83</v>
      </c>
      <c r="D47" s="194">
        <f>13857.91</f>
        <v>13857.91</v>
      </c>
      <c r="E47" s="194">
        <f>17301.08</f>
        <v>17301.080000000002</v>
      </c>
      <c r="F47" s="194">
        <f>12988.68</f>
        <v>12988.68</v>
      </c>
      <c r="G47" s="194">
        <f>12131.86</f>
        <v>12131.86</v>
      </c>
      <c r="H47" s="194">
        <f>15486.01</f>
        <v>15486.01</v>
      </c>
      <c r="I47" s="194">
        <f>3357.48</f>
        <v>3357.48</v>
      </c>
      <c r="J47" s="195">
        <v>15500</v>
      </c>
      <c r="K47" s="186" t="s">
        <v>181</v>
      </c>
    </row>
    <row r="48" spans="1:11" x14ac:dyDescent="0.2">
      <c r="A48" s="191" t="s">
        <v>182</v>
      </c>
      <c r="B48" s="192"/>
      <c r="C48" s="192"/>
      <c r="D48" s="192"/>
      <c r="E48" s="192"/>
      <c r="F48" s="192"/>
      <c r="G48" s="192"/>
      <c r="H48" s="194">
        <f>11.64</f>
        <v>11.64</v>
      </c>
      <c r="I48" s="192"/>
      <c r="J48" s="193"/>
    </row>
    <row r="49" spans="1:11" x14ac:dyDescent="0.2">
      <c r="A49" s="191" t="s">
        <v>183</v>
      </c>
      <c r="B49" s="192"/>
      <c r="C49" s="192"/>
      <c r="D49" s="192"/>
      <c r="E49" s="192"/>
      <c r="F49" s="192"/>
      <c r="G49" s="192"/>
      <c r="H49" s="192"/>
      <c r="I49" s="192"/>
      <c r="J49" s="193"/>
    </row>
    <row r="50" spans="1:11" x14ac:dyDescent="0.2">
      <c r="A50" s="191" t="s">
        <v>184</v>
      </c>
      <c r="B50" s="192"/>
      <c r="C50" s="192"/>
      <c r="D50" s="194">
        <f>220</f>
        <v>220</v>
      </c>
      <c r="E50" s="192"/>
      <c r="F50" s="192"/>
      <c r="G50" s="192"/>
      <c r="H50" s="192"/>
      <c r="I50" s="192"/>
      <c r="J50" s="193"/>
    </row>
    <row r="51" spans="1:11" x14ac:dyDescent="0.2">
      <c r="A51" s="191" t="s">
        <v>185</v>
      </c>
      <c r="B51" s="197">
        <f t="shared" ref="B51:J51" si="7">(B49)+(B50)</f>
        <v>0</v>
      </c>
      <c r="C51" s="197">
        <f t="shared" si="7"/>
        <v>0</v>
      </c>
      <c r="D51" s="197">
        <f t="shared" si="7"/>
        <v>220</v>
      </c>
      <c r="E51" s="197">
        <f t="shared" si="7"/>
        <v>0</v>
      </c>
      <c r="F51" s="197">
        <f t="shared" si="7"/>
        <v>0</v>
      </c>
      <c r="G51" s="197">
        <f t="shared" si="7"/>
        <v>0</v>
      </c>
      <c r="H51" s="197">
        <f t="shared" si="7"/>
        <v>0</v>
      </c>
      <c r="I51" s="197">
        <f t="shared" si="7"/>
        <v>0</v>
      </c>
      <c r="J51" s="198">
        <f t="shared" si="7"/>
        <v>0</v>
      </c>
    </row>
    <row r="52" spans="1:11" x14ac:dyDescent="0.2">
      <c r="A52" s="191" t="s">
        <v>186</v>
      </c>
      <c r="B52" s="197">
        <f t="shared" ref="B52:J52" si="8">((((((B43)+(B44))+(B45))+(B46))+(B47))+(B48))+(B51)</f>
        <v>7406</v>
      </c>
      <c r="C52" s="197">
        <f t="shared" si="8"/>
        <v>6974.83</v>
      </c>
      <c r="D52" s="197">
        <f t="shared" si="8"/>
        <v>20241.91</v>
      </c>
      <c r="E52" s="197">
        <f t="shared" si="8"/>
        <v>22514.080000000002</v>
      </c>
      <c r="F52" s="197">
        <f t="shared" si="8"/>
        <v>15008.68</v>
      </c>
      <c r="G52" s="197">
        <f t="shared" si="8"/>
        <v>14216.86</v>
      </c>
      <c r="H52" s="197">
        <f t="shared" si="8"/>
        <v>17673.650000000001</v>
      </c>
      <c r="I52" s="197">
        <f t="shared" si="8"/>
        <v>6912.68</v>
      </c>
      <c r="J52" s="198">
        <f t="shared" si="8"/>
        <v>17500</v>
      </c>
    </row>
    <row r="53" spans="1:11" ht="25" x14ac:dyDescent="0.2">
      <c r="A53" s="191" t="s">
        <v>187</v>
      </c>
      <c r="B53" s="192"/>
      <c r="C53" s="194">
        <f>1000</f>
        <v>1000</v>
      </c>
      <c r="D53" s="192"/>
      <c r="E53" s="192"/>
      <c r="F53" s="192"/>
      <c r="G53" s="192"/>
      <c r="H53" s="192"/>
      <c r="I53" s="192"/>
      <c r="J53" s="193"/>
    </row>
    <row r="54" spans="1:11" x14ac:dyDescent="0.2">
      <c r="A54" s="191" t="s">
        <v>188</v>
      </c>
      <c r="B54" s="192"/>
      <c r="C54" s="192"/>
      <c r="D54" s="192"/>
      <c r="E54" s="192"/>
      <c r="F54" s="192"/>
      <c r="G54" s="192"/>
      <c r="H54" s="192"/>
      <c r="I54" s="192"/>
      <c r="J54" s="193"/>
      <c r="K54" s="201" t="s">
        <v>340</v>
      </c>
    </row>
    <row r="55" spans="1:11" x14ac:dyDescent="0.2">
      <c r="A55" s="191" t="s">
        <v>189</v>
      </c>
      <c r="B55" s="194">
        <f>41762.5</f>
        <v>41762.5</v>
      </c>
      <c r="C55" s="194">
        <f>42200</f>
        <v>42200</v>
      </c>
      <c r="D55" s="194">
        <f>47250</f>
        <v>47250</v>
      </c>
      <c r="E55" s="194">
        <f>69205</f>
        <v>69205</v>
      </c>
      <c r="F55" s="194">
        <f>62680</f>
        <v>62680</v>
      </c>
      <c r="G55" s="194">
        <f>73170</f>
        <v>73170</v>
      </c>
      <c r="H55" s="194">
        <f>61295</f>
        <v>61295</v>
      </c>
      <c r="I55" s="194">
        <f>70850</f>
        <v>70850</v>
      </c>
      <c r="J55" s="195">
        <v>77700</v>
      </c>
      <c r="K55" s="186" t="s">
        <v>336</v>
      </c>
    </row>
    <row r="56" spans="1:11" x14ac:dyDescent="0.2">
      <c r="A56" s="191" t="s">
        <v>190</v>
      </c>
      <c r="B56" s="194">
        <f>3450</f>
        <v>3450</v>
      </c>
      <c r="C56" s="194">
        <f>4075</f>
        <v>4075</v>
      </c>
      <c r="D56" s="194">
        <f>4200</f>
        <v>4200</v>
      </c>
      <c r="E56" s="194">
        <f>6150</f>
        <v>6150</v>
      </c>
      <c r="F56" s="194">
        <f>6510</f>
        <v>6510</v>
      </c>
      <c r="G56" s="194">
        <f>7503</f>
        <v>7503</v>
      </c>
      <c r="H56" s="194">
        <f>7623</f>
        <v>7623</v>
      </c>
      <c r="I56" s="194">
        <f>8019</f>
        <v>8019</v>
      </c>
      <c r="J56" s="195">
        <v>10640</v>
      </c>
      <c r="K56" s="186" t="s">
        <v>337</v>
      </c>
    </row>
    <row r="57" spans="1:11" x14ac:dyDescent="0.2">
      <c r="A57" s="191" t="s">
        <v>191</v>
      </c>
      <c r="B57" s="197">
        <f t="shared" ref="B57:J57" si="9">((B54)+(B55))+(B56)</f>
        <v>45212.5</v>
      </c>
      <c r="C57" s="197">
        <f t="shared" si="9"/>
        <v>46275</v>
      </c>
      <c r="D57" s="197">
        <f t="shared" si="9"/>
        <v>51450</v>
      </c>
      <c r="E57" s="197">
        <f t="shared" si="9"/>
        <v>75355</v>
      </c>
      <c r="F57" s="197">
        <f t="shared" si="9"/>
        <v>69190</v>
      </c>
      <c r="G57" s="197">
        <f t="shared" si="9"/>
        <v>80673</v>
      </c>
      <c r="H57" s="197">
        <f t="shared" si="9"/>
        <v>68918</v>
      </c>
      <c r="I57" s="197">
        <f t="shared" si="9"/>
        <v>78869</v>
      </c>
      <c r="J57" s="198">
        <f t="shared" si="9"/>
        <v>88340</v>
      </c>
    </row>
    <row r="58" spans="1:11" x14ac:dyDescent="0.2">
      <c r="A58" s="191" t="s">
        <v>192</v>
      </c>
      <c r="B58" s="194">
        <f>701.3</f>
        <v>701.3</v>
      </c>
      <c r="C58" s="194">
        <f>484.23</f>
        <v>484.23</v>
      </c>
      <c r="D58" s="194">
        <f>740.51</f>
        <v>740.51</v>
      </c>
      <c r="E58" s="194">
        <f>696.28</f>
        <v>696.28</v>
      </c>
      <c r="F58" s="194">
        <f>1047.22</f>
        <v>1047.22</v>
      </c>
      <c r="G58" s="194">
        <f>1081.73</f>
        <v>1081.73</v>
      </c>
      <c r="H58" s="194">
        <f>2965.18</f>
        <v>2965.18</v>
      </c>
      <c r="I58" s="194">
        <f>3515.03</f>
        <v>3515.03</v>
      </c>
      <c r="J58" s="195">
        <v>1500</v>
      </c>
    </row>
    <row r="59" spans="1:11" x14ac:dyDescent="0.2">
      <c r="A59" s="191" t="s">
        <v>193</v>
      </c>
      <c r="B59" s="192"/>
      <c r="C59" s="194">
        <f>2053</f>
        <v>2053</v>
      </c>
      <c r="D59" s="192"/>
      <c r="E59" s="192"/>
      <c r="F59" s="192"/>
      <c r="G59" s="192"/>
      <c r="H59" s="192"/>
      <c r="I59" s="192"/>
      <c r="J59" s="193"/>
    </row>
    <row r="60" spans="1:11" x14ac:dyDescent="0.2">
      <c r="A60" s="191" t="s">
        <v>194</v>
      </c>
      <c r="B60" s="197">
        <f t="shared" ref="B60:J60" si="10">(((((B42)+(B52))+(B53))+(B57))+(B58))+(B59)</f>
        <v>242124.79999999999</v>
      </c>
      <c r="C60" s="197">
        <f t="shared" si="10"/>
        <v>243475.31</v>
      </c>
      <c r="D60" s="197">
        <f t="shared" si="10"/>
        <v>278555.17000000004</v>
      </c>
      <c r="E60" s="197">
        <f t="shared" si="10"/>
        <v>311749.28000000003</v>
      </c>
      <c r="F60" s="197">
        <f t="shared" si="10"/>
        <v>303034.89999999997</v>
      </c>
      <c r="G60" s="197">
        <f t="shared" si="10"/>
        <v>320442.51999999996</v>
      </c>
      <c r="H60" s="197">
        <f t="shared" si="10"/>
        <v>308794.07</v>
      </c>
      <c r="I60" s="197">
        <f t="shared" si="10"/>
        <v>331317.16000000003</v>
      </c>
      <c r="J60" s="198">
        <f t="shared" si="10"/>
        <v>352189</v>
      </c>
    </row>
    <row r="61" spans="1:11" x14ac:dyDescent="0.2">
      <c r="A61" s="191" t="s">
        <v>195</v>
      </c>
      <c r="B61" s="197">
        <f t="shared" ref="B61:J61" si="11">(B60)-(0)</f>
        <v>242124.79999999999</v>
      </c>
      <c r="C61" s="197">
        <f t="shared" si="11"/>
        <v>243475.31</v>
      </c>
      <c r="D61" s="197">
        <f t="shared" si="11"/>
        <v>278555.17000000004</v>
      </c>
      <c r="E61" s="197">
        <f t="shared" si="11"/>
        <v>311749.28000000003</v>
      </c>
      <c r="F61" s="197">
        <f t="shared" si="11"/>
        <v>303034.89999999997</v>
      </c>
      <c r="G61" s="197">
        <f t="shared" si="11"/>
        <v>320442.51999999996</v>
      </c>
      <c r="H61" s="197">
        <f t="shared" si="11"/>
        <v>308794.07</v>
      </c>
      <c r="I61" s="197">
        <f t="shared" si="11"/>
        <v>331317.16000000003</v>
      </c>
      <c r="J61" s="198">
        <f t="shared" si="11"/>
        <v>352189</v>
      </c>
    </row>
    <row r="62" spans="1:11" x14ac:dyDescent="0.2">
      <c r="A62" s="191" t="s">
        <v>196</v>
      </c>
      <c r="B62" s="192"/>
      <c r="C62" s="192"/>
      <c r="D62" s="192"/>
      <c r="E62" s="192"/>
      <c r="F62" s="192"/>
      <c r="G62" s="192"/>
      <c r="H62" s="192"/>
      <c r="I62" s="192"/>
      <c r="J62" s="193"/>
    </row>
    <row r="63" spans="1:11" x14ac:dyDescent="0.2">
      <c r="A63" s="191" t="s">
        <v>197</v>
      </c>
      <c r="B63" s="192"/>
      <c r="C63" s="192"/>
      <c r="D63" s="192"/>
      <c r="E63" s="192"/>
      <c r="F63" s="192"/>
      <c r="G63" s="192"/>
      <c r="H63" s="192"/>
      <c r="I63" s="192"/>
      <c r="J63" s="193"/>
    </row>
    <row r="64" spans="1:11" x14ac:dyDescent="0.2">
      <c r="A64" s="191" t="s">
        <v>198</v>
      </c>
      <c r="B64" s="194">
        <f>2250</f>
        <v>2250</v>
      </c>
      <c r="C64" s="194">
        <f>2350</f>
        <v>2350</v>
      </c>
      <c r="D64" s="194">
        <f>2450</f>
        <v>2450</v>
      </c>
      <c r="E64" s="194">
        <f>2650</f>
        <v>2650</v>
      </c>
      <c r="F64" s="194">
        <f>2500</f>
        <v>2500</v>
      </c>
      <c r="G64" s="194">
        <f>3300</f>
        <v>3300</v>
      </c>
      <c r="H64" s="194">
        <f>2900</f>
        <v>2900</v>
      </c>
      <c r="I64" s="194">
        <f>-510</f>
        <v>-510</v>
      </c>
      <c r="J64" s="195">
        <v>0</v>
      </c>
      <c r="K64" s="186" t="s">
        <v>325</v>
      </c>
    </row>
    <row r="65" spans="1:11" x14ac:dyDescent="0.2">
      <c r="A65" s="191" t="s">
        <v>199</v>
      </c>
      <c r="B65" s="194">
        <f>736.14</f>
        <v>736.14</v>
      </c>
      <c r="C65" s="194">
        <f>390.48</f>
        <v>390.48</v>
      </c>
      <c r="D65" s="194">
        <f>129</f>
        <v>129</v>
      </c>
      <c r="E65" s="194">
        <f>129</f>
        <v>129</v>
      </c>
      <c r="F65" s="194">
        <f>129</f>
        <v>129</v>
      </c>
      <c r="G65" s="199">
        <f>129</f>
        <v>129</v>
      </c>
      <c r="H65" s="194">
        <f>129</f>
        <v>129</v>
      </c>
      <c r="I65" s="194">
        <f>129</f>
        <v>129</v>
      </c>
      <c r="J65" s="195">
        <v>130</v>
      </c>
      <c r="K65" s="186" t="s">
        <v>319</v>
      </c>
    </row>
    <row r="66" spans="1:11" x14ac:dyDescent="0.2">
      <c r="A66" s="191" t="s">
        <v>200</v>
      </c>
      <c r="B66" s="194">
        <f>56388</f>
        <v>56388</v>
      </c>
      <c r="C66" s="194">
        <f>60000</f>
        <v>60000</v>
      </c>
      <c r="D66" s="194">
        <f>69000</f>
        <v>69000</v>
      </c>
      <c r="E66" s="194">
        <f>71000.04</f>
        <v>71000.039999999994</v>
      </c>
      <c r="F66" s="194">
        <f>80100</f>
        <v>80100</v>
      </c>
      <c r="G66" s="194">
        <f>81720</f>
        <v>81720</v>
      </c>
      <c r="H66" s="194">
        <f>83340</f>
        <v>83340</v>
      </c>
      <c r="I66" s="194">
        <f>50431</f>
        <v>50431</v>
      </c>
      <c r="J66" s="195">
        <v>88032</v>
      </c>
      <c r="K66" s="186" t="s">
        <v>320</v>
      </c>
    </row>
    <row r="67" spans="1:11" x14ac:dyDescent="0.2">
      <c r="A67" s="191" t="s">
        <v>201</v>
      </c>
      <c r="B67" s="192"/>
      <c r="C67" s="194">
        <f>65.09</f>
        <v>65.09</v>
      </c>
      <c r="D67" s="192"/>
      <c r="E67" s="192"/>
      <c r="F67" s="194">
        <f>25</f>
        <v>25</v>
      </c>
      <c r="G67" s="192"/>
      <c r="H67" s="194">
        <f>62</f>
        <v>62</v>
      </c>
      <c r="I67" s="194">
        <f>11</f>
        <v>11</v>
      </c>
      <c r="J67" s="195">
        <v>65</v>
      </c>
    </row>
    <row r="68" spans="1:11" x14ac:dyDescent="0.2">
      <c r="A68" s="191" t="s">
        <v>202</v>
      </c>
      <c r="B68" s="194">
        <f>1567</f>
        <v>1567</v>
      </c>
      <c r="C68" s="194">
        <f>500</f>
        <v>500</v>
      </c>
      <c r="D68" s="194">
        <f>1956.62</f>
        <v>1956.62</v>
      </c>
      <c r="E68" s="194">
        <f>1787.33</f>
        <v>1787.33</v>
      </c>
      <c r="F68" s="194">
        <f>1795.64</f>
        <v>1795.64</v>
      </c>
      <c r="G68" s="194">
        <f>1796.04</f>
        <v>1796.04</v>
      </c>
      <c r="H68" s="194">
        <f>1795.92</f>
        <v>1795.92</v>
      </c>
      <c r="I68" s="194">
        <f>1058.8</f>
        <v>1058.8</v>
      </c>
      <c r="J68" s="195">
        <v>1899</v>
      </c>
      <c r="K68" s="186" t="s">
        <v>331</v>
      </c>
    </row>
    <row r="69" spans="1:11" ht="48" x14ac:dyDescent="0.2">
      <c r="A69" s="191" t="s">
        <v>203</v>
      </c>
      <c r="B69" s="194">
        <f>4482.59</f>
        <v>4482.59</v>
      </c>
      <c r="C69" s="194">
        <f>4503.1</f>
        <v>4503.1000000000004</v>
      </c>
      <c r="D69" s="194">
        <f>7051.7</f>
        <v>7051.7</v>
      </c>
      <c r="E69" s="194">
        <f>6891.49</f>
        <v>6891.49</v>
      </c>
      <c r="F69" s="194">
        <f>2223.9</f>
        <v>2223.9</v>
      </c>
      <c r="G69" s="194">
        <f>2351.75</f>
        <v>2351.75</v>
      </c>
      <c r="H69" s="194">
        <f>1806.36</f>
        <v>1806.36</v>
      </c>
      <c r="I69" s="194">
        <f>1706.05</f>
        <v>1706.05</v>
      </c>
      <c r="J69" s="195">
        <v>2000</v>
      </c>
      <c r="K69" s="187" t="s">
        <v>324</v>
      </c>
    </row>
    <row r="70" spans="1:11" x14ac:dyDescent="0.2">
      <c r="A70" s="191" t="s">
        <v>204</v>
      </c>
      <c r="B70" s="194">
        <f>3898.48</f>
        <v>3898.48</v>
      </c>
      <c r="C70" s="194">
        <f>2490.04</f>
        <v>2490.04</v>
      </c>
      <c r="D70" s="194">
        <f>2309.57</f>
        <v>2309.5700000000002</v>
      </c>
      <c r="E70" s="194">
        <f>2172.63</f>
        <v>2172.63</v>
      </c>
      <c r="F70" s="194">
        <f>2585.88</f>
        <v>2585.88</v>
      </c>
      <c r="G70" s="194">
        <f>2878.65</f>
        <v>2878.65</v>
      </c>
      <c r="H70" s="194">
        <f>3308.06</f>
        <v>3308.06</v>
      </c>
      <c r="I70" s="194">
        <f>1777.9</f>
        <v>1777.9</v>
      </c>
      <c r="J70" s="195">
        <v>3300</v>
      </c>
    </row>
    <row r="71" spans="1:11" x14ac:dyDescent="0.2">
      <c r="A71" s="191" t="s">
        <v>205</v>
      </c>
      <c r="B71" s="194">
        <f>3125</f>
        <v>3125</v>
      </c>
      <c r="C71" s="194">
        <f>2593.73</f>
        <v>2593.73</v>
      </c>
      <c r="D71" s="194">
        <f>3860.72</f>
        <v>3860.72</v>
      </c>
      <c r="E71" s="194">
        <f>5829.49</f>
        <v>5829.49</v>
      </c>
      <c r="F71" s="194">
        <f>5012.61</f>
        <v>5012.6099999999997</v>
      </c>
      <c r="G71" s="194">
        <f>4871.25</f>
        <v>4871.25</v>
      </c>
      <c r="H71" s="194">
        <f>10290.47</f>
        <v>10290.469999999999</v>
      </c>
      <c r="I71" s="194">
        <f>2800</f>
        <v>2800</v>
      </c>
      <c r="J71" s="195">
        <v>4800</v>
      </c>
      <c r="K71" s="186" t="s">
        <v>206</v>
      </c>
    </row>
    <row r="72" spans="1:11" x14ac:dyDescent="0.2">
      <c r="A72" s="191" t="s">
        <v>207</v>
      </c>
      <c r="B72" s="192"/>
      <c r="C72" s="192"/>
      <c r="D72" s="194">
        <f>500</f>
        <v>500</v>
      </c>
      <c r="E72" s="194">
        <f>120</f>
        <v>120</v>
      </c>
      <c r="F72" s="194">
        <f>2070</f>
        <v>2070</v>
      </c>
      <c r="G72" s="194">
        <f>157.5</f>
        <v>157.5</v>
      </c>
      <c r="H72" s="192"/>
      <c r="I72" s="192"/>
      <c r="J72" s="193"/>
    </row>
    <row r="73" spans="1:11" x14ac:dyDescent="0.2">
      <c r="A73" s="191" t="s">
        <v>208</v>
      </c>
      <c r="B73" s="192"/>
      <c r="C73" s="192"/>
      <c r="D73" s="194">
        <f>790</f>
        <v>790</v>
      </c>
      <c r="E73" s="194">
        <f>1861</f>
        <v>1861</v>
      </c>
      <c r="F73" s="194">
        <f>300.64</f>
        <v>300.64</v>
      </c>
      <c r="G73" s="194">
        <f>269</f>
        <v>269</v>
      </c>
      <c r="H73" s="194">
        <f>1027</f>
        <v>1027</v>
      </c>
      <c r="I73" s="194">
        <f>-1</f>
        <v>-1</v>
      </c>
      <c r="J73" s="195">
        <v>1000</v>
      </c>
    </row>
    <row r="74" spans="1:11" x14ac:dyDescent="0.2">
      <c r="A74" s="191" t="s">
        <v>209</v>
      </c>
      <c r="B74" s="197">
        <f t="shared" ref="B74:J74" si="12">((((((((((B63)+(B64))+(B65))+(B66))+(B67))+(B68))+(B69))+(B70))+(B71))+(B72))+(B73)</f>
        <v>72447.209999999992</v>
      </c>
      <c r="C74" s="197">
        <f t="shared" si="12"/>
        <v>72892.439999999988</v>
      </c>
      <c r="D74" s="197">
        <f t="shared" si="12"/>
        <v>88047.61</v>
      </c>
      <c r="E74" s="197">
        <f t="shared" si="12"/>
        <v>92440.98000000001</v>
      </c>
      <c r="F74" s="197">
        <f t="shared" si="12"/>
        <v>96742.67</v>
      </c>
      <c r="G74" s="197">
        <f t="shared" si="12"/>
        <v>97473.189999999988</v>
      </c>
      <c r="H74" s="197">
        <f t="shared" si="12"/>
        <v>104658.81</v>
      </c>
      <c r="I74" s="197">
        <f t="shared" si="12"/>
        <v>57402.750000000007</v>
      </c>
      <c r="J74" s="198">
        <f t="shared" si="12"/>
        <v>101226</v>
      </c>
    </row>
    <row r="75" spans="1:11" x14ac:dyDescent="0.2">
      <c r="A75" s="191" t="s">
        <v>210</v>
      </c>
      <c r="B75" s="192"/>
      <c r="C75" s="192"/>
      <c r="D75" s="192"/>
      <c r="E75" s="192"/>
      <c r="F75" s="192"/>
      <c r="G75" s="192"/>
      <c r="H75" s="192"/>
      <c r="I75" s="192"/>
      <c r="J75" s="193"/>
    </row>
    <row r="76" spans="1:11" ht="25" x14ac:dyDescent="0.2">
      <c r="A76" s="191" t="s">
        <v>211</v>
      </c>
      <c r="B76" s="194">
        <f>4488.11</f>
        <v>4488.1099999999997</v>
      </c>
      <c r="C76" s="194">
        <f>2959.59</f>
        <v>2959.59</v>
      </c>
      <c r="D76" s="194">
        <f>3817.24</f>
        <v>3817.24</v>
      </c>
      <c r="E76" s="194">
        <f>2416.87</f>
        <v>2416.87</v>
      </c>
      <c r="F76" s="194">
        <f>2419.89</f>
        <v>2419.89</v>
      </c>
      <c r="G76" s="194">
        <f>2770.5</f>
        <v>2770.5</v>
      </c>
      <c r="H76" s="194">
        <f>1655.09</f>
        <v>1655.09</v>
      </c>
      <c r="I76" s="194">
        <f>2827.36</f>
        <v>2827.36</v>
      </c>
      <c r="J76" s="195">
        <v>3000</v>
      </c>
      <c r="K76" s="186" t="s">
        <v>212</v>
      </c>
    </row>
    <row r="77" spans="1:11" x14ac:dyDescent="0.2">
      <c r="A77" s="191" t="s">
        <v>213</v>
      </c>
      <c r="B77" s="194">
        <f>1751.44</f>
        <v>1751.44</v>
      </c>
      <c r="C77" s="194">
        <f>1499.41</f>
        <v>1499.41</v>
      </c>
      <c r="D77" s="194">
        <f>1908</f>
        <v>1908</v>
      </c>
      <c r="E77" s="194">
        <f>930.18</f>
        <v>930.18</v>
      </c>
      <c r="F77" s="194">
        <f>3169.62</f>
        <v>3169.62</v>
      </c>
      <c r="G77" s="194">
        <f>629.56</f>
        <v>629.55999999999995</v>
      </c>
      <c r="H77" s="194">
        <f>1371.05</f>
        <v>1371.05</v>
      </c>
      <c r="I77" s="194">
        <f>245.1</f>
        <v>245.1</v>
      </c>
      <c r="J77" s="195">
        <v>1500</v>
      </c>
      <c r="K77" s="186" t="s">
        <v>214</v>
      </c>
    </row>
    <row r="78" spans="1:11" x14ac:dyDescent="0.2">
      <c r="A78" s="191" t="s">
        <v>215</v>
      </c>
      <c r="B78" s="192"/>
      <c r="C78" s="194">
        <f>112.32</f>
        <v>112.32</v>
      </c>
      <c r="D78" s="194">
        <f>640</f>
        <v>640</v>
      </c>
      <c r="E78" s="194">
        <f>618</f>
        <v>618</v>
      </c>
      <c r="F78" s="192"/>
      <c r="G78" s="192"/>
      <c r="H78" s="192"/>
      <c r="I78" s="192"/>
      <c r="J78" s="193">
        <v>0</v>
      </c>
    </row>
    <row r="79" spans="1:11" ht="48" x14ac:dyDescent="0.2">
      <c r="A79" s="191" t="s">
        <v>216</v>
      </c>
      <c r="B79" s="194">
        <f>1529.63</f>
        <v>1529.63</v>
      </c>
      <c r="C79" s="194">
        <f>4031.18</f>
        <v>4031.18</v>
      </c>
      <c r="D79" s="194">
        <f>1954.45</f>
        <v>1954.45</v>
      </c>
      <c r="E79" s="194">
        <f>1790.47</f>
        <v>1790.47</v>
      </c>
      <c r="F79" s="194">
        <f>1668.5</f>
        <v>1668.5</v>
      </c>
      <c r="G79" s="194">
        <f>6693.66</f>
        <v>6693.66</v>
      </c>
      <c r="H79" s="194">
        <f>2428.66</f>
        <v>2428.66</v>
      </c>
      <c r="I79" s="194">
        <f>3716</f>
        <v>3716</v>
      </c>
      <c r="J79" s="195">
        <v>3500</v>
      </c>
      <c r="K79" s="187" t="s">
        <v>217</v>
      </c>
    </row>
    <row r="80" spans="1:11" x14ac:dyDescent="0.2">
      <c r="A80" s="191" t="s">
        <v>218</v>
      </c>
      <c r="B80" s="194">
        <f>23525.51</f>
        <v>23525.51</v>
      </c>
      <c r="C80" s="194">
        <f>19241.73</f>
        <v>19241.73</v>
      </c>
      <c r="D80" s="194">
        <f>13892.57</f>
        <v>13892.57</v>
      </c>
      <c r="E80" s="194">
        <f>9209.66</f>
        <v>9209.66</v>
      </c>
      <c r="F80" s="194">
        <f>14362.14</f>
        <v>14362.14</v>
      </c>
      <c r="G80" s="194">
        <f>29449.24</f>
        <v>29449.24</v>
      </c>
      <c r="H80" s="194">
        <f>26469.18</f>
        <v>26469.18</v>
      </c>
      <c r="I80" s="194">
        <f>28826.63</f>
        <v>28826.63</v>
      </c>
      <c r="J80" s="195">
        <v>28410</v>
      </c>
      <c r="K80" s="186" t="s">
        <v>125</v>
      </c>
    </row>
    <row r="81" spans="1:11" ht="176" x14ac:dyDescent="0.2">
      <c r="A81" s="191" t="s">
        <v>219</v>
      </c>
      <c r="B81" s="194">
        <f>18362.59</f>
        <v>18362.59</v>
      </c>
      <c r="C81" s="194">
        <f>28550.25</f>
        <v>28550.25</v>
      </c>
      <c r="D81" s="194">
        <f>30529.95</f>
        <v>30529.95</v>
      </c>
      <c r="E81" s="194">
        <f>35899.06</f>
        <v>35899.06</v>
      </c>
      <c r="F81" s="194">
        <f>37424.14</f>
        <v>37424.14</v>
      </c>
      <c r="G81" s="194">
        <f>28350.03</f>
        <v>28350.03</v>
      </c>
      <c r="H81" s="194">
        <f>46960.96</f>
        <v>46960.959999999999</v>
      </c>
      <c r="I81" s="194">
        <f>70792.54</f>
        <v>70792.539999999994</v>
      </c>
      <c r="J81" s="195">
        <v>92700</v>
      </c>
      <c r="K81" s="187" t="s">
        <v>343</v>
      </c>
    </row>
    <row r="82" spans="1:11" ht="32" x14ac:dyDescent="0.2">
      <c r="A82" s="191" t="s">
        <v>220</v>
      </c>
      <c r="B82" s="194">
        <f>4156.57</f>
        <v>4156.57</v>
      </c>
      <c r="C82" s="194">
        <f>3075.28</f>
        <v>3075.28</v>
      </c>
      <c r="D82" s="194">
        <f>4100.32</f>
        <v>4100.32</v>
      </c>
      <c r="E82" s="194">
        <f>4892.61</f>
        <v>4892.6099999999997</v>
      </c>
      <c r="F82" s="194">
        <f>3872.71</f>
        <v>3872.71</v>
      </c>
      <c r="G82" s="194">
        <f>4822.07</f>
        <v>4822.07</v>
      </c>
      <c r="H82" s="194">
        <f>3636.03</f>
        <v>3636.03</v>
      </c>
      <c r="I82" s="194">
        <f>4752.92</f>
        <v>4752.92</v>
      </c>
      <c r="J82" s="195">
        <v>4182</v>
      </c>
      <c r="K82" s="187" t="s">
        <v>326</v>
      </c>
    </row>
    <row r="83" spans="1:11" x14ac:dyDescent="0.2">
      <c r="A83" s="191" t="s">
        <v>221</v>
      </c>
      <c r="B83" s="194">
        <f>1215</f>
        <v>1215</v>
      </c>
      <c r="C83" s="194">
        <f>1105</f>
        <v>1105</v>
      </c>
      <c r="D83" s="194">
        <f>2053.76</f>
        <v>2053.7600000000002</v>
      </c>
      <c r="E83" s="194">
        <f>1425.44</f>
        <v>1425.44</v>
      </c>
      <c r="F83" s="194">
        <f>785.4</f>
        <v>785.4</v>
      </c>
      <c r="G83" s="194">
        <f>189</f>
        <v>189</v>
      </c>
      <c r="H83" s="194">
        <f>196</f>
        <v>196</v>
      </c>
      <c r="I83" s="192"/>
      <c r="J83" s="193"/>
    </row>
    <row r="84" spans="1:11" x14ac:dyDescent="0.2">
      <c r="A84" s="191" t="s">
        <v>222</v>
      </c>
      <c r="B84" s="194">
        <f>1994.86</f>
        <v>1994.86</v>
      </c>
      <c r="C84" s="194">
        <f>2907.55</f>
        <v>2907.55</v>
      </c>
      <c r="D84" s="194">
        <f>2822.59</f>
        <v>2822.59</v>
      </c>
      <c r="E84" s="194">
        <f>1585.1</f>
        <v>1585.1</v>
      </c>
      <c r="F84" s="194">
        <f>2604.17</f>
        <v>2604.17</v>
      </c>
      <c r="G84" s="194">
        <f>4019.08</f>
        <v>4019.08</v>
      </c>
      <c r="H84" s="194">
        <f>1274.74</f>
        <v>1274.74</v>
      </c>
      <c r="I84" s="194">
        <f>10982.96</f>
        <v>10982.96</v>
      </c>
      <c r="J84" s="195">
        <v>11300</v>
      </c>
    </row>
    <row r="85" spans="1:11" x14ac:dyDescent="0.2">
      <c r="A85" s="191" t="s">
        <v>223</v>
      </c>
      <c r="B85" s="194">
        <f>3006.5</f>
        <v>3006.5</v>
      </c>
      <c r="C85" s="194">
        <f>3626.42</f>
        <v>3626.42</v>
      </c>
      <c r="D85" s="194">
        <f>1587.71</f>
        <v>1587.71</v>
      </c>
      <c r="E85" s="194">
        <f>1850.24</f>
        <v>1850.24</v>
      </c>
      <c r="F85" s="194">
        <f>1264.82</f>
        <v>1264.82</v>
      </c>
      <c r="G85" s="194">
        <f>1861.88</f>
        <v>1861.88</v>
      </c>
      <c r="H85" s="194">
        <f>2999.62</f>
        <v>2999.62</v>
      </c>
      <c r="I85" s="194">
        <f>1948.66</f>
        <v>1948.66</v>
      </c>
      <c r="J85" s="195">
        <v>2000</v>
      </c>
    </row>
    <row r="86" spans="1:11" ht="48" x14ac:dyDescent="0.2">
      <c r="A86" s="191" t="s">
        <v>224</v>
      </c>
      <c r="B86" s="192"/>
      <c r="C86" s="192"/>
      <c r="D86" s="192"/>
      <c r="E86" s="194">
        <f>1833.67</f>
        <v>1833.67</v>
      </c>
      <c r="F86" s="194">
        <f>1469.67</f>
        <v>1469.67</v>
      </c>
      <c r="G86" s="194">
        <f>2861.6</f>
        <v>2861.6</v>
      </c>
      <c r="H86" s="194">
        <f>2598.21</f>
        <v>2598.21</v>
      </c>
      <c r="I86" s="194">
        <f>3128.8</f>
        <v>3128.8</v>
      </c>
      <c r="J86" s="195">
        <v>4192</v>
      </c>
      <c r="K86" s="187" t="s">
        <v>225</v>
      </c>
    </row>
    <row r="87" spans="1:11" x14ac:dyDescent="0.2">
      <c r="A87" s="191" t="s">
        <v>226</v>
      </c>
      <c r="B87" s="197">
        <f t="shared" ref="B87:J87" si="13">(B85)+(B86)</f>
        <v>3006.5</v>
      </c>
      <c r="C87" s="197">
        <f t="shared" si="13"/>
        <v>3626.42</v>
      </c>
      <c r="D87" s="197">
        <f t="shared" si="13"/>
        <v>1587.71</v>
      </c>
      <c r="E87" s="197">
        <f t="shared" si="13"/>
        <v>3683.91</v>
      </c>
      <c r="F87" s="197">
        <f t="shared" si="13"/>
        <v>2734.49</v>
      </c>
      <c r="G87" s="197">
        <f t="shared" si="13"/>
        <v>4723.4799999999996</v>
      </c>
      <c r="H87" s="197">
        <f t="shared" si="13"/>
        <v>5597.83</v>
      </c>
      <c r="I87" s="197">
        <f t="shared" si="13"/>
        <v>5077.46</v>
      </c>
      <c r="J87" s="198">
        <f t="shared" si="13"/>
        <v>6192</v>
      </c>
    </row>
    <row r="88" spans="1:11" x14ac:dyDescent="0.2">
      <c r="A88" s="191" t="s">
        <v>227</v>
      </c>
      <c r="B88" s="192"/>
      <c r="C88" s="194">
        <f>113.68</f>
        <v>113.68</v>
      </c>
      <c r="D88" s="194">
        <f>275.62</f>
        <v>275.62</v>
      </c>
      <c r="E88" s="192"/>
      <c r="F88" s="192"/>
      <c r="G88" s="194">
        <f>237.72</f>
        <v>237.72</v>
      </c>
      <c r="H88" s="194">
        <f>65</f>
        <v>65</v>
      </c>
      <c r="I88" s="192"/>
      <c r="J88" s="193"/>
    </row>
    <row r="89" spans="1:11" ht="32" x14ac:dyDescent="0.2">
      <c r="A89" s="191" t="s">
        <v>228</v>
      </c>
      <c r="B89" s="194">
        <f>6500</f>
        <v>6500</v>
      </c>
      <c r="C89" s="194">
        <f>4400</f>
        <v>4400</v>
      </c>
      <c r="D89" s="194">
        <f>3000</f>
        <v>3000</v>
      </c>
      <c r="E89" s="194">
        <f>2250</f>
        <v>2250</v>
      </c>
      <c r="F89" s="194">
        <f>7250</f>
        <v>7250</v>
      </c>
      <c r="G89" s="194">
        <f>8750</f>
        <v>8750</v>
      </c>
      <c r="H89" s="194">
        <f>12250</f>
        <v>12250</v>
      </c>
      <c r="I89" s="194">
        <f>16000</f>
        <v>16000</v>
      </c>
      <c r="J89" s="195">
        <v>10000</v>
      </c>
      <c r="K89" s="187" t="s">
        <v>77</v>
      </c>
    </row>
    <row r="90" spans="1:11" x14ac:dyDescent="0.2">
      <c r="A90" s="191" t="s">
        <v>229</v>
      </c>
      <c r="B90" s="192"/>
      <c r="C90" s="194">
        <f>2501.06</f>
        <v>2501.06</v>
      </c>
      <c r="D90" s="194">
        <f>1004.63</f>
        <v>1004.63</v>
      </c>
      <c r="E90" s="192"/>
      <c r="F90" s="194">
        <f>337.78</f>
        <v>337.78</v>
      </c>
      <c r="G90" s="194">
        <f>500</f>
        <v>500</v>
      </c>
      <c r="H90" s="192"/>
      <c r="I90" s="192"/>
      <c r="J90" s="193"/>
    </row>
    <row r="91" spans="1:11" ht="48" x14ac:dyDescent="0.2">
      <c r="A91" s="191" t="s">
        <v>230</v>
      </c>
      <c r="B91" s="194">
        <f>316.92</f>
        <v>316.92</v>
      </c>
      <c r="C91" s="194">
        <f>715.95</f>
        <v>715.95</v>
      </c>
      <c r="D91" s="194">
        <f>642.58</f>
        <v>642.58000000000004</v>
      </c>
      <c r="E91" s="194">
        <f>849.25</f>
        <v>849.25</v>
      </c>
      <c r="F91" s="194">
        <f>738.9</f>
        <v>738.9</v>
      </c>
      <c r="G91" s="194">
        <f>172.75</f>
        <v>172.75</v>
      </c>
      <c r="H91" s="194">
        <f>467.55</f>
        <v>467.55</v>
      </c>
      <c r="I91" s="194">
        <f>992.76</f>
        <v>992.76</v>
      </c>
      <c r="J91" s="195">
        <v>1846.96</v>
      </c>
      <c r="K91" s="187" t="s">
        <v>122</v>
      </c>
    </row>
    <row r="92" spans="1:11" x14ac:dyDescent="0.2">
      <c r="A92" s="191" t="s">
        <v>231</v>
      </c>
      <c r="B92" s="192"/>
      <c r="C92" s="194">
        <f>160.18</f>
        <v>160.18</v>
      </c>
      <c r="D92" s="192"/>
      <c r="E92" s="192"/>
      <c r="F92" s="192"/>
      <c r="G92" s="192"/>
      <c r="H92" s="192"/>
      <c r="I92" s="192"/>
      <c r="J92" s="193"/>
    </row>
    <row r="93" spans="1:11" x14ac:dyDescent="0.2">
      <c r="A93" s="191" t="s">
        <v>232</v>
      </c>
      <c r="B93" s="197">
        <f t="shared" ref="B93:J93" si="14">((((B88)+(B89))+(B90))+(B91))+(B92)</f>
        <v>6816.92</v>
      </c>
      <c r="C93" s="197">
        <f t="shared" si="14"/>
        <v>7890.87</v>
      </c>
      <c r="D93" s="197">
        <f t="shared" si="14"/>
        <v>4922.83</v>
      </c>
      <c r="E93" s="197">
        <f t="shared" si="14"/>
        <v>3099.25</v>
      </c>
      <c r="F93" s="197">
        <f t="shared" si="14"/>
        <v>8326.68</v>
      </c>
      <c r="G93" s="197">
        <f t="shared" si="14"/>
        <v>9660.4699999999993</v>
      </c>
      <c r="H93" s="197">
        <f t="shared" si="14"/>
        <v>12782.55</v>
      </c>
      <c r="I93" s="197">
        <f t="shared" si="14"/>
        <v>16992.759999999998</v>
      </c>
      <c r="J93" s="198">
        <f t="shared" si="14"/>
        <v>11846.96</v>
      </c>
    </row>
    <row r="94" spans="1:11" x14ac:dyDescent="0.2">
      <c r="A94" s="191" t="s">
        <v>233</v>
      </c>
      <c r="B94" s="194">
        <f>4275</f>
        <v>4275</v>
      </c>
      <c r="C94" s="194">
        <f>4740</f>
        <v>4740</v>
      </c>
      <c r="D94" s="194">
        <f>3150</f>
        <v>3150</v>
      </c>
      <c r="E94" s="194">
        <f>3366</f>
        <v>3366</v>
      </c>
      <c r="F94" s="194">
        <f>2775</f>
        <v>2775</v>
      </c>
      <c r="G94" s="194">
        <f>7935.25</f>
        <v>7935.25</v>
      </c>
      <c r="H94" s="194">
        <f>6827</f>
        <v>6827</v>
      </c>
      <c r="I94" s="192"/>
      <c r="J94" s="193"/>
    </row>
    <row r="95" spans="1:11" x14ac:dyDescent="0.2">
      <c r="A95" s="191" t="s">
        <v>234</v>
      </c>
      <c r="B95" s="192"/>
      <c r="C95" s="192"/>
      <c r="D95" s="192"/>
      <c r="E95" s="194">
        <f>5000</f>
        <v>5000</v>
      </c>
      <c r="F95" s="194">
        <f>5000</f>
        <v>5000</v>
      </c>
      <c r="G95" s="194">
        <f>3849</f>
        <v>3849</v>
      </c>
      <c r="H95" s="194">
        <f>5349</f>
        <v>5349</v>
      </c>
      <c r="I95" s="194">
        <f>5849</f>
        <v>5849</v>
      </c>
      <c r="J95" s="195">
        <v>6000</v>
      </c>
    </row>
    <row r="96" spans="1:11" x14ac:dyDescent="0.2">
      <c r="A96" s="191" t="s">
        <v>235</v>
      </c>
      <c r="B96" s="192"/>
      <c r="C96" s="192"/>
      <c r="D96" s="192"/>
      <c r="E96" s="192"/>
      <c r="F96" s="192"/>
      <c r="G96" s="194">
        <f>300</f>
        <v>300</v>
      </c>
      <c r="H96" s="194">
        <f>3309.05</f>
        <v>3309.05</v>
      </c>
      <c r="I96" s="194">
        <f>2717.23</f>
        <v>2717.23</v>
      </c>
      <c r="J96" s="195">
        <v>1692.61</v>
      </c>
      <c r="K96" s="186" t="s">
        <v>236</v>
      </c>
    </row>
    <row r="97" spans="1:11" x14ac:dyDescent="0.2">
      <c r="A97" s="191" t="s">
        <v>237</v>
      </c>
      <c r="B97" s="194">
        <f>818.63</f>
        <v>818.63</v>
      </c>
      <c r="C97" s="194">
        <f>395.88</f>
        <v>395.88</v>
      </c>
      <c r="D97" s="194">
        <f>549.73</f>
        <v>549.73</v>
      </c>
      <c r="E97" s="194">
        <f>39.52</f>
        <v>39.520000000000003</v>
      </c>
      <c r="F97" s="194">
        <f>894.93</f>
        <v>894.93</v>
      </c>
      <c r="G97" s="194">
        <f>880.64</f>
        <v>880.64</v>
      </c>
      <c r="H97" s="194">
        <f>459.55</f>
        <v>459.55</v>
      </c>
      <c r="I97" s="194">
        <f>73.67</f>
        <v>73.67</v>
      </c>
      <c r="J97" s="195">
        <v>100</v>
      </c>
    </row>
    <row r="98" spans="1:11" x14ac:dyDescent="0.2">
      <c r="A98" s="191" t="s">
        <v>238</v>
      </c>
      <c r="B98" s="192"/>
      <c r="C98" s="192"/>
      <c r="D98" s="192"/>
      <c r="E98" s="194">
        <f>336.75</f>
        <v>336.75</v>
      </c>
      <c r="F98" s="192"/>
      <c r="G98" s="194">
        <f>860</f>
        <v>860</v>
      </c>
      <c r="H98" s="194">
        <f>910</f>
        <v>910</v>
      </c>
      <c r="I98" s="194">
        <f>975</f>
        <v>975</v>
      </c>
      <c r="J98" s="195">
        <v>1000</v>
      </c>
    </row>
    <row r="99" spans="1:11" x14ac:dyDescent="0.2">
      <c r="A99" s="191" t="s">
        <v>239</v>
      </c>
      <c r="B99" s="192"/>
      <c r="C99" s="192"/>
      <c r="D99" s="192"/>
      <c r="E99" s="194">
        <f>-1802.35</f>
        <v>-1802.35</v>
      </c>
      <c r="F99" s="194">
        <f>-570</f>
        <v>-570</v>
      </c>
      <c r="G99" s="192"/>
      <c r="H99" s="192"/>
      <c r="I99" s="192"/>
      <c r="J99" s="193"/>
    </row>
    <row r="100" spans="1:11" x14ac:dyDescent="0.2">
      <c r="A100" s="191" t="s">
        <v>240</v>
      </c>
      <c r="B100" s="197">
        <f t="shared" ref="B100:J100" si="15">(((B96)+(B97))+(B98))+(B99)</f>
        <v>818.63</v>
      </c>
      <c r="C100" s="197">
        <f t="shared" si="15"/>
        <v>395.88</v>
      </c>
      <c r="D100" s="197">
        <f t="shared" si="15"/>
        <v>549.73</v>
      </c>
      <c r="E100" s="197">
        <f t="shared" si="15"/>
        <v>-1426.08</v>
      </c>
      <c r="F100" s="197">
        <f t="shared" si="15"/>
        <v>324.92999999999995</v>
      </c>
      <c r="G100" s="197">
        <f t="shared" si="15"/>
        <v>2040.6399999999999</v>
      </c>
      <c r="H100" s="197">
        <f t="shared" si="15"/>
        <v>4678.6000000000004</v>
      </c>
      <c r="I100" s="197">
        <f t="shared" si="15"/>
        <v>3765.9</v>
      </c>
      <c r="J100" s="198">
        <f t="shared" si="15"/>
        <v>2792.6099999999997</v>
      </c>
    </row>
    <row r="101" spans="1:11" x14ac:dyDescent="0.2">
      <c r="A101" s="191" t="s">
        <v>241</v>
      </c>
      <c r="B101" s="192"/>
      <c r="C101" s="192"/>
      <c r="D101" s="192"/>
      <c r="E101" s="194">
        <f>1040</f>
        <v>1040</v>
      </c>
      <c r="F101" s="194">
        <f>235</f>
        <v>235</v>
      </c>
      <c r="G101" s="194">
        <f>1150</f>
        <v>1150</v>
      </c>
      <c r="H101" s="194">
        <f>1270</f>
        <v>1270</v>
      </c>
      <c r="I101" s="194">
        <f>1437.5</f>
        <v>1437.5</v>
      </c>
      <c r="J101" s="195">
        <v>1500</v>
      </c>
    </row>
    <row r="102" spans="1:11" x14ac:dyDescent="0.2">
      <c r="A102" s="191" t="s">
        <v>242</v>
      </c>
      <c r="B102" s="192"/>
      <c r="C102" s="192"/>
      <c r="D102" s="192"/>
      <c r="E102" s="192"/>
      <c r="F102" s="194">
        <f>3998.48</f>
        <v>3998.48</v>
      </c>
      <c r="G102" s="194">
        <f>4252.59</f>
        <v>4252.59</v>
      </c>
      <c r="H102" s="194">
        <f>4461.41</f>
        <v>4461.41</v>
      </c>
      <c r="I102" s="194">
        <f>4211.5</f>
        <v>4211.5</v>
      </c>
      <c r="J102" s="195">
        <v>4300</v>
      </c>
    </row>
    <row r="103" spans="1:11" x14ac:dyDescent="0.2">
      <c r="A103" s="191" t="s">
        <v>243</v>
      </c>
      <c r="B103" s="192"/>
      <c r="C103" s="192"/>
      <c r="D103" s="192"/>
      <c r="E103" s="192"/>
      <c r="F103" s="194">
        <f>4690.9</f>
        <v>4690.8999999999996</v>
      </c>
      <c r="G103" s="194">
        <f>5851.18</f>
        <v>5851.18</v>
      </c>
      <c r="H103" s="194">
        <f>2042.28</f>
        <v>2042.28</v>
      </c>
      <c r="I103" s="194">
        <f>3847.34</f>
        <v>3847.34</v>
      </c>
      <c r="J103" s="195"/>
    </row>
    <row r="104" spans="1:11" x14ac:dyDescent="0.2">
      <c r="A104" s="191" t="s">
        <v>244</v>
      </c>
      <c r="B104" s="197">
        <f t="shared" ref="B104:I104" si="16">(((((((((((((((((B75)+(B76))+(B77))+(B78))+(B79))+(B80))+(B81))+(B82))+(B83))+(B84))+(B87))+(B93))+(B94))+(B95))+(B100))+(B101))+(B102))+(B103)</f>
        <v>71940.760000000009</v>
      </c>
      <c r="C104" s="197">
        <f t="shared" si="16"/>
        <v>80135.48</v>
      </c>
      <c r="D104" s="197">
        <f t="shared" si="16"/>
        <v>71929.149999999994</v>
      </c>
      <c r="E104" s="197">
        <f t="shared" si="16"/>
        <v>73530.47</v>
      </c>
      <c r="F104" s="197">
        <f t="shared" si="16"/>
        <v>94392.05</v>
      </c>
      <c r="G104" s="197">
        <f t="shared" si="16"/>
        <v>116385.75</v>
      </c>
      <c r="H104" s="197">
        <f t="shared" si="16"/>
        <v>127000.38000000002</v>
      </c>
      <c r="I104" s="197">
        <f t="shared" si="16"/>
        <v>163324.97</v>
      </c>
      <c r="J104" s="198">
        <v>186475.03</v>
      </c>
    </row>
    <row r="105" spans="1:11" x14ac:dyDescent="0.2">
      <c r="A105" s="191" t="s">
        <v>245</v>
      </c>
      <c r="B105" s="192"/>
      <c r="C105" s="192"/>
      <c r="D105" s="192"/>
      <c r="E105" s="192"/>
      <c r="F105" s="192"/>
      <c r="G105" s="192"/>
      <c r="H105" s="192"/>
      <c r="I105" s="192"/>
      <c r="J105" s="193"/>
    </row>
    <row r="106" spans="1:11" x14ac:dyDescent="0.2">
      <c r="A106" s="191" t="s">
        <v>246</v>
      </c>
      <c r="B106" s="194">
        <f>5558.59</f>
        <v>5558.59</v>
      </c>
      <c r="C106" s="194">
        <f>6331.91</f>
        <v>6331.91</v>
      </c>
      <c r="D106" s="194">
        <f>4710.42</f>
        <v>4710.42</v>
      </c>
      <c r="E106" s="194">
        <f>2082.38</f>
        <v>2082.38</v>
      </c>
      <c r="F106" s="194">
        <f>5308.82</f>
        <v>5308.82</v>
      </c>
      <c r="G106" s="194">
        <f>922.87</f>
        <v>922.87</v>
      </c>
      <c r="H106" s="194">
        <f>5165.71</f>
        <v>5165.71</v>
      </c>
      <c r="I106" s="194">
        <f>3679.45</f>
        <v>3679.45</v>
      </c>
      <c r="J106" s="195">
        <v>5000</v>
      </c>
    </row>
    <row r="107" spans="1:11" x14ac:dyDescent="0.2">
      <c r="A107" s="191" t="s">
        <v>247</v>
      </c>
      <c r="B107" s="194">
        <f>567.8</f>
        <v>567.79999999999995</v>
      </c>
      <c r="C107" s="194">
        <f>810.83</f>
        <v>810.83</v>
      </c>
      <c r="D107" s="192"/>
      <c r="E107" s="192"/>
      <c r="F107" s="192"/>
      <c r="G107" s="192"/>
      <c r="H107" s="192"/>
      <c r="I107" s="192"/>
      <c r="J107" s="193">
        <v>0</v>
      </c>
    </row>
    <row r="108" spans="1:11" x14ac:dyDescent="0.2">
      <c r="A108" s="191" t="s">
        <v>248</v>
      </c>
      <c r="B108" s="192"/>
      <c r="C108" s="192"/>
      <c r="D108" s="192"/>
      <c r="E108" s="192"/>
      <c r="F108" s="194">
        <f>611.72</f>
        <v>611.72</v>
      </c>
      <c r="G108" s="194">
        <f>585</f>
        <v>585</v>
      </c>
      <c r="H108" s="192"/>
      <c r="I108" s="192"/>
      <c r="J108" s="193">
        <v>0</v>
      </c>
    </row>
    <row r="109" spans="1:11" x14ac:dyDescent="0.2">
      <c r="A109" s="191" t="s">
        <v>249</v>
      </c>
      <c r="B109" s="197">
        <f t="shared" ref="B109:J109" si="17">(((B105)+(B106))+(B107))+(B108)</f>
        <v>6126.39</v>
      </c>
      <c r="C109" s="197">
        <f t="shared" si="17"/>
        <v>7142.74</v>
      </c>
      <c r="D109" s="197">
        <f t="shared" si="17"/>
        <v>4710.42</v>
      </c>
      <c r="E109" s="197">
        <f t="shared" si="17"/>
        <v>2082.38</v>
      </c>
      <c r="F109" s="197">
        <f t="shared" si="17"/>
        <v>5920.54</v>
      </c>
      <c r="G109" s="197">
        <f t="shared" si="17"/>
        <v>1507.87</v>
      </c>
      <c r="H109" s="197">
        <f t="shared" si="17"/>
        <v>5165.71</v>
      </c>
      <c r="I109" s="197">
        <f t="shared" si="17"/>
        <v>3679.45</v>
      </c>
      <c r="J109" s="198">
        <f t="shared" si="17"/>
        <v>5000</v>
      </c>
    </row>
    <row r="110" spans="1:11" x14ac:dyDescent="0.2">
      <c r="A110" s="191" t="s">
        <v>250</v>
      </c>
      <c r="B110" s="192"/>
      <c r="C110" s="192"/>
      <c r="D110" s="192"/>
      <c r="E110" s="192"/>
      <c r="F110" s="192"/>
      <c r="G110" s="192"/>
      <c r="H110" s="192"/>
      <c r="I110" s="192"/>
      <c r="J110" s="193"/>
    </row>
    <row r="111" spans="1:11" x14ac:dyDescent="0.2">
      <c r="A111" s="191" t="s">
        <v>251</v>
      </c>
      <c r="B111" s="194">
        <f>250</f>
        <v>250</v>
      </c>
      <c r="C111" s="194">
        <f>1575</f>
        <v>1575</v>
      </c>
      <c r="D111" s="194">
        <f>1500</f>
        <v>1500</v>
      </c>
      <c r="E111" s="194">
        <f>1390</f>
        <v>1390</v>
      </c>
      <c r="F111" s="194">
        <f>90</f>
        <v>90</v>
      </c>
      <c r="G111" s="192"/>
      <c r="H111" s="194">
        <f>340</f>
        <v>340</v>
      </c>
      <c r="I111" s="192"/>
      <c r="J111" s="193">
        <v>2500</v>
      </c>
      <c r="K111" s="186" t="s">
        <v>321</v>
      </c>
    </row>
    <row r="112" spans="1:11" x14ac:dyDescent="0.2">
      <c r="A112" s="191" t="s">
        <v>252</v>
      </c>
      <c r="B112" s="194">
        <f>2406.43</f>
        <v>2406.4299999999998</v>
      </c>
      <c r="C112" s="194">
        <f>4135.92</f>
        <v>4135.92</v>
      </c>
      <c r="D112" s="194">
        <f>3644.7</f>
        <v>3644.7</v>
      </c>
      <c r="E112" s="194">
        <f>1987.35</f>
        <v>1987.35</v>
      </c>
      <c r="F112" s="194">
        <f>6330.32</f>
        <v>6330.32</v>
      </c>
      <c r="G112" s="192"/>
      <c r="H112" s="194">
        <f>5350.58</f>
        <v>5350.58</v>
      </c>
      <c r="I112" s="194">
        <f>7338.24</f>
        <v>7338.24</v>
      </c>
      <c r="J112" s="195">
        <v>2000</v>
      </c>
      <c r="K112" s="186" t="s">
        <v>321</v>
      </c>
    </row>
    <row r="113" spans="1:11" x14ac:dyDescent="0.2">
      <c r="A113" s="191" t="s">
        <v>253</v>
      </c>
      <c r="B113" s="194">
        <f>2349</f>
        <v>2349</v>
      </c>
      <c r="C113" s="194">
        <f>2830</f>
        <v>2830</v>
      </c>
      <c r="D113" s="194">
        <f>1860</f>
        <v>1860</v>
      </c>
      <c r="E113" s="194">
        <f>1765.5</f>
        <v>1765.5</v>
      </c>
      <c r="F113" s="194">
        <f>4400.05</f>
        <v>4400.05</v>
      </c>
      <c r="G113" s="192"/>
      <c r="H113" s="194">
        <f>3076.31</f>
        <v>3076.31</v>
      </c>
      <c r="I113" s="194">
        <f>4284.77</f>
        <v>4284.7700000000004</v>
      </c>
      <c r="J113" s="195">
        <v>2100</v>
      </c>
      <c r="K113" s="186" t="s">
        <v>322</v>
      </c>
    </row>
    <row r="114" spans="1:11" x14ac:dyDescent="0.2">
      <c r="A114" s="191" t="s">
        <v>254</v>
      </c>
      <c r="B114" s="194">
        <f>1939.84</f>
        <v>1939.84</v>
      </c>
      <c r="C114" s="194">
        <f>1029.88</f>
        <v>1029.8800000000001</v>
      </c>
      <c r="D114" s="194">
        <f>1663.49</f>
        <v>1663.49</v>
      </c>
      <c r="E114" s="194">
        <f>1830.91</f>
        <v>1830.91</v>
      </c>
      <c r="F114" s="194">
        <f>1324.7</f>
        <v>1324.7</v>
      </c>
      <c r="G114" s="192"/>
      <c r="H114" s="194">
        <f>1219.31</f>
        <v>1219.31</v>
      </c>
      <c r="I114" s="194">
        <f>1444.05</f>
        <v>1444.05</v>
      </c>
      <c r="J114" s="195">
        <v>1500</v>
      </c>
      <c r="K114" s="186" t="s">
        <v>321</v>
      </c>
    </row>
    <row r="115" spans="1:11" x14ac:dyDescent="0.2">
      <c r="A115" s="191" t="s">
        <v>255</v>
      </c>
      <c r="B115" s="194">
        <f>487.32</f>
        <v>487.32</v>
      </c>
      <c r="C115" s="194">
        <f>364.09</f>
        <v>364.09</v>
      </c>
      <c r="D115" s="194">
        <f>268.39</f>
        <v>268.39</v>
      </c>
      <c r="E115" s="194">
        <f>779.52</f>
        <v>779.52</v>
      </c>
      <c r="F115" s="194">
        <f>565.27</f>
        <v>565.27</v>
      </c>
      <c r="G115" s="192"/>
      <c r="H115" s="194">
        <f>451.65</f>
        <v>451.65</v>
      </c>
      <c r="I115" s="194">
        <f>678.31</f>
        <v>678.31</v>
      </c>
      <c r="J115" s="195">
        <v>500</v>
      </c>
      <c r="K115" s="186" t="s">
        <v>321</v>
      </c>
    </row>
    <row r="116" spans="1:11" x14ac:dyDescent="0.2">
      <c r="A116" s="191" t="s">
        <v>256</v>
      </c>
      <c r="B116" s="194">
        <f>94.72</f>
        <v>94.72</v>
      </c>
      <c r="C116" s="194">
        <f>70.98</f>
        <v>70.98</v>
      </c>
      <c r="D116" s="194">
        <f>30.37</f>
        <v>30.37</v>
      </c>
      <c r="E116" s="192"/>
      <c r="F116" s="194">
        <f>39.34</f>
        <v>39.340000000000003</v>
      </c>
      <c r="G116" s="192"/>
      <c r="H116" s="194">
        <f>30</f>
        <v>30</v>
      </c>
      <c r="I116" s="192"/>
      <c r="J116" s="193">
        <v>50</v>
      </c>
      <c r="K116" s="186" t="s">
        <v>321</v>
      </c>
    </row>
    <row r="117" spans="1:11" x14ac:dyDescent="0.2">
      <c r="A117" s="191" t="s">
        <v>257</v>
      </c>
      <c r="B117" s="194">
        <f>650</f>
        <v>650</v>
      </c>
      <c r="C117" s="194">
        <f>635.47</f>
        <v>635.47</v>
      </c>
      <c r="D117" s="194">
        <f>761.19</f>
        <v>761.19</v>
      </c>
      <c r="E117" s="194">
        <f>629.69</f>
        <v>629.69000000000005</v>
      </c>
      <c r="F117" s="194">
        <f>297.59</f>
        <v>297.58999999999997</v>
      </c>
      <c r="G117" s="194">
        <f>620.6</f>
        <v>620.6</v>
      </c>
      <c r="H117" s="194">
        <f>581.25</f>
        <v>581.25</v>
      </c>
      <c r="I117" s="192"/>
      <c r="J117" s="193">
        <v>600</v>
      </c>
      <c r="K117" s="186" t="s">
        <v>321</v>
      </c>
    </row>
    <row r="118" spans="1:11" x14ac:dyDescent="0.2">
      <c r="A118" s="191" t="s">
        <v>258</v>
      </c>
      <c r="B118" s="194">
        <f>160</f>
        <v>160</v>
      </c>
      <c r="C118" s="194">
        <f>235</f>
        <v>235</v>
      </c>
      <c r="D118" s="194">
        <f>220</f>
        <v>220</v>
      </c>
      <c r="E118" s="194">
        <f>140</f>
        <v>140</v>
      </c>
      <c r="F118" s="192"/>
      <c r="G118" s="192"/>
      <c r="H118" s="192"/>
      <c r="I118" s="192"/>
      <c r="J118" s="193"/>
    </row>
    <row r="119" spans="1:11" x14ac:dyDescent="0.2">
      <c r="A119" s="191" t="s">
        <v>259</v>
      </c>
      <c r="B119" s="192"/>
      <c r="C119" s="192"/>
      <c r="D119" s="194">
        <f>500</f>
        <v>500</v>
      </c>
      <c r="E119" s="194">
        <f>500</f>
        <v>500</v>
      </c>
      <c r="F119" s="192"/>
      <c r="G119" s="192"/>
      <c r="H119" s="192"/>
      <c r="I119" s="194">
        <f>730.59</f>
        <v>730.59</v>
      </c>
      <c r="J119" s="195">
        <v>1000</v>
      </c>
      <c r="K119" s="186" t="s">
        <v>321</v>
      </c>
    </row>
    <row r="120" spans="1:11" x14ac:dyDescent="0.2">
      <c r="A120" s="191" t="s">
        <v>260</v>
      </c>
      <c r="B120" s="197">
        <f t="shared" ref="B120:J120" si="18">(((((((((B110)+(B111))+(B112))+(B113))+(B114))+(B115))+(B116))+(B117))+(B118))+(B119)</f>
        <v>8337.3100000000013</v>
      </c>
      <c r="C120" s="197">
        <f t="shared" si="18"/>
        <v>10876.339999999998</v>
      </c>
      <c r="D120" s="197">
        <f t="shared" si="18"/>
        <v>10448.140000000001</v>
      </c>
      <c r="E120" s="197">
        <f t="shared" si="18"/>
        <v>9022.9700000000012</v>
      </c>
      <c r="F120" s="197">
        <f t="shared" si="18"/>
        <v>13047.27</v>
      </c>
      <c r="G120" s="197">
        <f t="shared" si="18"/>
        <v>620.6</v>
      </c>
      <c r="H120" s="197">
        <f t="shared" si="18"/>
        <v>11049.099999999999</v>
      </c>
      <c r="I120" s="197">
        <f t="shared" si="18"/>
        <v>14475.96</v>
      </c>
      <c r="J120" s="198">
        <f t="shared" si="18"/>
        <v>10250</v>
      </c>
    </row>
    <row r="121" spans="1:11" x14ac:dyDescent="0.2">
      <c r="A121" s="191" t="s">
        <v>261</v>
      </c>
      <c r="B121" s="192"/>
      <c r="C121" s="192"/>
      <c r="D121" s="192"/>
      <c r="E121" s="192"/>
      <c r="F121" s="192"/>
      <c r="G121" s="192"/>
      <c r="H121" s="192"/>
      <c r="I121" s="192"/>
      <c r="J121" s="193"/>
    </row>
    <row r="122" spans="1:11" x14ac:dyDescent="0.2">
      <c r="A122" s="191" t="s">
        <v>262</v>
      </c>
      <c r="B122" s="194">
        <f>2003.57</f>
        <v>2003.57</v>
      </c>
      <c r="C122" s="194">
        <f>1196.19</f>
        <v>1196.19</v>
      </c>
      <c r="D122" s="194">
        <f>1652.09</f>
        <v>1652.09</v>
      </c>
      <c r="E122" s="192"/>
      <c r="F122" s="194">
        <f>390.65</f>
        <v>390.65</v>
      </c>
      <c r="G122" s="194">
        <f>414.54</f>
        <v>414.54</v>
      </c>
      <c r="H122" s="192"/>
      <c r="I122" s="194">
        <f>155.5</f>
        <v>155.5</v>
      </c>
      <c r="J122" s="195">
        <v>500</v>
      </c>
    </row>
    <row r="123" spans="1:11" x14ac:dyDescent="0.2">
      <c r="A123" s="191" t="s">
        <v>263</v>
      </c>
      <c r="B123" s="194">
        <f>1964.93</f>
        <v>1964.93</v>
      </c>
      <c r="C123" s="194">
        <f>927.87</f>
        <v>927.87</v>
      </c>
      <c r="D123" s="194">
        <f>685</f>
        <v>685</v>
      </c>
      <c r="E123" s="194">
        <f>434</f>
        <v>434</v>
      </c>
      <c r="F123" s="194">
        <f>250.16</f>
        <v>250.16</v>
      </c>
      <c r="G123" s="192"/>
      <c r="H123" s="194">
        <f>241.32</f>
        <v>241.32</v>
      </c>
      <c r="I123" s="194">
        <f>12.43</f>
        <v>12.43</v>
      </c>
      <c r="J123" s="195">
        <v>250</v>
      </c>
    </row>
    <row r="124" spans="1:11" x14ac:dyDescent="0.2">
      <c r="A124" s="191" t="s">
        <v>264</v>
      </c>
      <c r="B124" s="197">
        <f t="shared" ref="B124:J124" si="19">((B121)+(B122))+(B123)</f>
        <v>3968.5</v>
      </c>
      <c r="C124" s="197">
        <f t="shared" si="19"/>
        <v>2124.06</v>
      </c>
      <c r="D124" s="197">
        <f t="shared" si="19"/>
        <v>2337.09</v>
      </c>
      <c r="E124" s="197">
        <f t="shared" si="19"/>
        <v>434</v>
      </c>
      <c r="F124" s="197">
        <f t="shared" si="19"/>
        <v>640.80999999999995</v>
      </c>
      <c r="G124" s="197">
        <f t="shared" si="19"/>
        <v>414.54</v>
      </c>
      <c r="H124" s="197">
        <f t="shared" si="19"/>
        <v>241.32</v>
      </c>
      <c r="I124" s="197">
        <f t="shared" si="19"/>
        <v>167.93</v>
      </c>
      <c r="J124" s="198">
        <f t="shared" si="19"/>
        <v>750</v>
      </c>
    </row>
    <row r="125" spans="1:11" x14ac:dyDescent="0.2">
      <c r="A125" s="191" t="s">
        <v>265</v>
      </c>
      <c r="B125" s="192"/>
      <c r="C125" s="192"/>
      <c r="D125" s="192"/>
      <c r="E125" s="192"/>
      <c r="F125" s="192"/>
      <c r="G125" s="192"/>
      <c r="H125" s="194">
        <f>0</f>
        <v>0</v>
      </c>
      <c r="I125" s="192"/>
      <c r="J125" s="193"/>
    </row>
    <row r="126" spans="1:11" x14ac:dyDescent="0.2">
      <c r="A126" s="191" t="s">
        <v>266</v>
      </c>
      <c r="B126" s="192"/>
      <c r="C126" s="192"/>
      <c r="D126" s="192"/>
      <c r="E126" s="192"/>
      <c r="F126" s="192"/>
      <c r="G126" s="192"/>
      <c r="H126" s="194">
        <f>106</f>
        <v>106</v>
      </c>
      <c r="I126" s="192"/>
      <c r="J126" s="193"/>
    </row>
    <row r="127" spans="1:11" ht="144" x14ac:dyDescent="0.2">
      <c r="A127" s="191" t="s">
        <v>267</v>
      </c>
      <c r="B127" s="194">
        <f>5970.39</f>
        <v>5970.39</v>
      </c>
      <c r="C127" s="194">
        <f>7610.01</f>
        <v>7610.01</v>
      </c>
      <c r="D127" s="194">
        <f>6855.11</f>
        <v>6855.11</v>
      </c>
      <c r="E127" s="192"/>
      <c r="F127" s="194">
        <f>6287.69</f>
        <v>6287.69</v>
      </c>
      <c r="G127" s="194">
        <f>8872.76</f>
        <v>8872.76</v>
      </c>
      <c r="H127" s="194">
        <f>13704.88</f>
        <v>13704.88</v>
      </c>
      <c r="I127" s="192"/>
      <c r="J127" s="193">
        <v>0</v>
      </c>
      <c r="K127" s="187" t="s">
        <v>328</v>
      </c>
    </row>
    <row r="128" spans="1:11" x14ac:dyDescent="0.2">
      <c r="A128" s="191" t="s">
        <v>268</v>
      </c>
      <c r="B128" s="194">
        <f>505.22</f>
        <v>505.22</v>
      </c>
      <c r="C128" s="194">
        <f>1587.6</f>
        <v>1587.6</v>
      </c>
      <c r="D128" s="194">
        <f>733.48</f>
        <v>733.48</v>
      </c>
      <c r="E128" s="194">
        <f>3093.47</f>
        <v>3093.47</v>
      </c>
      <c r="F128" s="194">
        <f>2415.3</f>
        <v>2415.3000000000002</v>
      </c>
      <c r="G128" s="192"/>
      <c r="H128" s="194">
        <f>250</f>
        <v>250</v>
      </c>
      <c r="I128" s="194">
        <f>790.5</f>
        <v>790.5</v>
      </c>
      <c r="J128" s="195">
        <v>500</v>
      </c>
    </row>
    <row r="129" spans="1:11" x14ac:dyDescent="0.2">
      <c r="A129" s="191" t="s">
        <v>269</v>
      </c>
      <c r="B129" s="192"/>
      <c r="C129" s="192"/>
      <c r="D129" s="192"/>
      <c r="E129" s="192"/>
      <c r="F129" s="192"/>
      <c r="G129" s="192"/>
      <c r="H129" s="192"/>
      <c r="I129" s="192"/>
      <c r="J129" s="193"/>
    </row>
    <row r="130" spans="1:11" ht="48" x14ac:dyDescent="0.2">
      <c r="A130" s="191" t="s">
        <v>270</v>
      </c>
      <c r="B130" s="194">
        <f>1000</f>
        <v>1000</v>
      </c>
      <c r="C130" s="194">
        <f>2000</f>
        <v>2000</v>
      </c>
      <c r="D130" s="194">
        <f>1000</f>
        <v>1000</v>
      </c>
      <c r="E130" s="194">
        <f>2000</f>
        <v>2000</v>
      </c>
      <c r="F130" s="194">
        <f>2000</f>
        <v>2000</v>
      </c>
      <c r="G130" s="194">
        <f>2000</f>
        <v>2000</v>
      </c>
      <c r="H130" s="194">
        <f>2000</f>
        <v>2000</v>
      </c>
      <c r="I130" s="192"/>
      <c r="J130" s="193">
        <v>2000</v>
      </c>
      <c r="K130" s="200" t="s">
        <v>329</v>
      </c>
    </row>
    <row r="131" spans="1:11" ht="25" x14ac:dyDescent="0.2">
      <c r="A131" s="191" t="s">
        <v>271</v>
      </c>
      <c r="B131" s="194">
        <f>1000</f>
        <v>1000</v>
      </c>
      <c r="C131" s="194">
        <f>2000</f>
        <v>2000</v>
      </c>
      <c r="D131" s="192"/>
      <c r="E131" s="194">
        <f>2000</f>
        <v>2000</v>
      </c>
      <c r="F131" s="194">
        <f>2000</f>
        <v>2000</v>
      </c>
      <c r="G131" s="194">
        <f>3000</f>
        <v>3000</v>
      </c>
      <c r="H131" s="194">
        <f>2000</f>
        <v>2000</v>
      </c>
      <c r="I131" s="192"/>
      <c r="J131" s="193">
        <v>2000</v>
      </c>
    </row>
    <row r="132" spans="1:11" x14ac:dyDescent="0.2">
      <c r="A132" s="191" t="s">
        <v>272</v>
      </c>
      <c r="B132" s="194">
        <f>5000</f>
        <v>5000</v>
      </c>
      <c r="C132" s="194">
        <f>5000</f>
        <v>5000</v>
      </c>
      <c r="D132" s="194">
        <f>5000</f>
        <v>5000</v>
      </c>
      <c r="E132" s="194">
        <f>4000</f>
        <v>4000</v>
      </c>
      <c r="F132" s="194">
        <f>2000</f>
        <v>2000</v>
      </c>
      <c r="G132" s="194">
        <f>2000</f>
        <v>2000</v>
      </c>
      <c r="H132" s="194">
        <f>2000</f>
        <v>2000</v>
      </c>
      <c r="I132" s="192"/>
      <c r="J132" s="193">
        <v>2000</v>
      </c>
    </row>
    <row r="133" spans="1:11" x14ac:dyDescent="0.2">
      <c r="A133" s="191" t="s">
        <v>273</v>
      </c>
      <c r="B133" s="197">
        <f t="shared" ref="B133:J133" si="20">(((B129)+(B130))+(B131))+(B132)</f>
        <v>7000</v>
      </c>
      <c r="C133" s="197">
        <f t="shared" si="20"/>
        <v>9000</v>
      </c>
      <c r="D133" s="197">
        <f t="shared" si="20"/>
        <v>6000</v>
      </c>
      <c r="E133" s="197">
        <f t="shared" si="20"/>
        <v>8000</v>
      </c>
      <c r="F133" s="197">
        <f t="shared" si="20"/>
        <v>6000</v>
      </c>
      <c r="G133" s="197">
        <f t="shared" si="20"/>
        <v>7000</v>
      </c>
      <c r="H133" s="197">
        <f t="shared" si="20"/>
        <v>6000</v>
      </c>
      <c r="I133" s="197">
        <f t="shared" si="20"/>
        <v>0</v>
      </c>
      <c r="J133" s="198">
        <f t="shared" si="20"/>
        <v>6000</v>
      </c>
    </row>
    <row r="134" spans="1:11" x14ac:dyDescent="0.2">
      <c r="A134" s="191" t="s">
        <v>274</v>
      </c>
      <c r="B134" s="192"/>
      <c r="C134" s="194">
        <f>1857.9</f>
        <v>1857.9</v>
      </c>
      <c r="D134" s="192"/>
      <c r="E134" s="192"/>
      <c r="F134" s="192"/>
      <c r="G134" s="192"/>
      <c r="H134" s="192"/>
      <c r="I134" s="192"/>
      <c r="J134" s="193"/>
    </row>
    <row r="135" spans="1:11" x14ac:dyDescent="0.2">
      <c r="A135" s="191" t="s">
        <v>275</v>
      </c>
      <c r="B135" s="197">
        <f t="shared" ref="B135:J135" si="21">(((((B125)+(B126))+(B127))+(B128))+(B133))+(B134)</f>
        <v>13475.61</v>
      </c>
      <c r="C135" s="197">
        <f t="shared" si="21"/>
        <v>20055.510000000002</v>
      </c>
      <c r="D135" s="197">
        <f t="shared" si="21"/>
        <v>13588.59</v>
      </c>
      <c r="E135" s="197">
        <f t="shared" si="21"/>
        <v>11093.47</v>
      </c>
      <c r="F135" s="197">
        <f t="shared" si="21"/>
        <v>14702.99</v>
      </c>
      <c r="G135" s="197">
        <f t="shared" si="21"/>
        <v>15872.76</v>
      </c>
      <c r="H135" s="197">
        <f t="shared" si="21"/>
        <v>20060.879999999997</v>
      </c>
      <c r="I135" s="197">
        <f t="shared" si="21"/>
        <v>790.5</v>
      </c>
      <c r="J135" s="198">
        <f t="shared" si="21"/>
        <v>6500</v>
      </c>
    </row>
    <row r="136" spans="1:11" x14ac:dyDescent="0.2">
      <c r="A136" s="191" t="s">
        <v>276</v>
      </c>
      <c r="B136" s="192"/>
      <c r="C136" s="192"/>
      <c r="D136" s="192"/>
      <c r="E136" s="192"/>
      <c r="F136" s="192"/>
      <c r="G136" s="192"/>
      <c r="H136" s="192"/>
      <c r="I136" s="192"/>
      <c r="J136" s="193"/>
    </row>
    <row r="137" spans="1:11" ht="32" x14ac:dyDescent="0.2">
      <c r="A137" s="191" t="s">
        <v>277</v>
      </c>
      <c r="B137" s="194">
        <f>5096.86</f>
        <v>5096.8599999999997</v>
      </c>
      <c r="C137" s="194">
        <f>4415.16</f>
        <v>4415.16</v>
      </c>
      <c r="D137" s="194">
        <f>4972</f>
        <v>4972</v>
      </c>
      <c r="E137" s="194">
        <f>4573.65</f>
        <v>4573.6499999999996</v>
      </c>
      <c r="F137" s="194">
        <f>5716.3</f>
        <v>5716.3</v>
      </c>
      <c r="G137" s="194">
        <f>4084.75</f>
        <v>4084.75</v>
      </c>
      <c r="H137" s="194">
        <f>5189.92</f>
        <v>5189.92</v>
      </c>
      <c r="I137" s="194">
        <f>2455</f>
        <v>2455</v>
      </c>
      <c r="J137" s="195">
        <v>5500</v>
      </c>
      <c r="K137" s="187" t="s">
        <v>330</v>
      </c>
    </row>
    <row r="138" spans="1:11" x14ac:dyDescent="0.2">
      <c r="A138" s="191" t="s">
        <v>278</v>
      </c>
      <c r="B138" s="194">
        <f>4196</f>
        <v>4196</v>
      </c>
      <c r="C138" s="192"/>
      <c r="D138" s="192"/>
      <c r="E138" s="194">
        <f>344</f>
        <v>344</v>
      </c>
      <c r="F138" s="194">
        <f>380</f>
        <v>380</v>
      </c>
      <c r="G138" s="194">
        <f>380</f>
        <v>380</v>
      </c>
      <c r="H138" s="192"/>
      <c r="I138" s="192"/>
      <c r="J138" s="193"/>
    </row>
    <row r="139" spans="1:11" x14ac:dyDescent="0.2">
      <c r="A139" s="191" t="s">
        <v>279</v>
      </c>
      <c r="B139" s="197">
        <f t="shared" ref="B139:J139" si="22">((B136)+(B137))+(B138)</f>
        <v>9292.86</v>
      </c>
      <c r="C139" s="197">
        <f t="shared" si="22"/>
        <v>4415.16</v>
      </c>
      <c r="D139" s="197">
        <f t="shared" si="22"/>
        <v>4972</v>
      </c>
      <c r="E139" s="197">
        <f t="shared" si="22"/>
        <v>4917.6499999999996</v>
      </c>
      <c r="F139" s="197">
        <f t="shared" si="22"/>
        <v>6096.3</v>
      </c>
      <c r="G139" s="197">
        <f t="shared" si="22"/>
        <v>4464.75</v>
      </c>
      <c r="H139" s="197">
        <f t="shared" si="22"/>
        <v>5189.92</v>
      </c>
      <c r="I139" s="197">
        <f t="shared" si="22"/>
        <v>2455</v>
      </c>
      <c r="J139" s="198">
        <f t="shared" si="22"/>
        <v>5500</v>
      </c>
    </row>
    <row r="140" spans="1:11" x14ac:dyDescent="0.2">
      <c r="A140" s="191" t="s">
        <v>280</v>
      </c>
      <c r="B140" s="192"/>
      <c r="C140" s="192"/>
      <c r="D140" s="192"/>
      <c r="E140" s="192"/>
      <c r="F140" s="192"/>
      <c r="G140" s="192"/>
      <c r="H140" s="194">
        <f>105.95</f>
        <v>105.95</v>
      </c>
      <c r="I140" s="192"/>
      <c r="J140" s="193"/>
    </row>
    <row r="141" spans="1:11" x14ac:dyDescent="0.2">
      <c r="A141" s="191" t="s">
        <v>281</v>
      </c>
      <c r="B141" s="192"/>
      <c r="C141" s="192"/>
      <c r="D141" s="192"/>
      <c r="E141" s="194">
        <f>93.8</f>
        <v>93.8</v>
      </c>
      <c r="F141" s="192"/>
      <c r="G141" s="194">
        <f>50</f>
        <v>50</v>
      </c>
      <c r="H141" s="192"/>
      <c r="I141" s="192"/>
      <c r="J141" s="193"/>
    </row>
    <row r="142" spans="1:11" x14ac:dyDescent="0.2">
      <c r="A142" s="191" t="s">
        <v>282</v>
      </c>
      <c r="B142" s="194">
        <f>998.32</f>
        <v>998.32</v>
      </c>
      <c r="C142" s="194">
        <f>132.5</f>
        <v>132.5</v>
      </c>
      <c r="D142" s="192"/>
      <c r="E142" s="192"/>
      <c r="F142" s="194">
        <f>186.26</f>
        <v>186.26</v>
      </c>
      <c r="G142" s="194">
        <f>98</f>
        <v>98</v>
      </c>
      <c r="H142" s="194">
        <f>496.93</f>
        <v>496.93</v>
      </c>
      <c r="I142" s="192"/>
      <c r="J142" s="193">
        <v>150</v>
      </c>
    </row>
    <row r="143" spans="1:11" x14ac:dyDescent="0.2">
      <c r="A143" s="191" t="s">
        <v>283</v>
      </c>
      <c r="B143" s="192"/>
      <c r="C143" s="192"/>
      <c r="D143" s="192"/>
      <c r="E143" s="194">
        <f>500</f>
        <v>500</v>
      </c>
      <c r="F143" s="194">
        <f>500</f>
        <v>500</v>
      </c>
      <c r="G143" s="194">
        <f>500</f>
        <v>500</v>
      </c>
      <c r="H143" s="194">
        <f>500</f>
        <v>500</v>
      </c>
      <c r="I143" s="194">
        <f>500</f>
        <v>500</v>
      </c>
      <c r="J143" s="195">
        <v>500</v>
      </c>
    </row>
    <row r="144" spans="1:11" ht="64" x14ac:dyDescent="0.2">
      <c r="A144" s="191" t="s">
        <v>284</v>
      </c>
      <c r="B144" s="194">
        <f>971.57</f>
        <v>971.57</v>
      </c>
      <c r="C144" s="194">
        <f>871.01</f>
        <v>871.01</v>
      </c>
      <c r="D144" s="194">
        <f>936.53</f>
        <v>936.53</v>
      </c>
      <c r="E144" s="194">
        <f>567.27</f>
        <v>567.27</v>
      </c>
      <c r="F144" s="194">
        <f>560.88</f>
        <v>560.88</v>
      </c>
      <c r="G144" s="194">
        <f>671.53</f>
        <v>671.53</v>
      </c>
      <c r="H144" s="194">
        <f>1816.47</f>
        <v>1816.47</v>
      </c>
      <c r="I144" s="194">
        <f>1234.2</f>
        <v>1234.2</v>
      </c>
      <c r="J144" s="195">
        <v>1300</v>
      </c>
      <c r="K144" s="200" t="s">
        <v>342</v>
      </c>
    </row>
    <row r="145" spans="1:11" x14ac:dyDescent="0.2">
      <c r="A145" s="191" t="s">
        <v>285</v>
      </c>
      <c r="B145" s="192"/>
      <c r="C145" s="192"/>
      <c r="D145" s="192"/>
      <c r="E145" s="192"/>
      <c r="F145" s="192"/>
      <c r="G145" s="192"/>
      <c r="H145" s="194">
        <f>96</f>
        <v>96</v>
      </c>
      <c r="I145" s="194">
        <f>-41.15</f>
        <v>-41.15</v>
      </c>
      <c r="J145" s="195">
        <v>0</v>
      </c>
    </row>
    <row r="146" spans="1:11" x14ac:dyDescent="0.2">
      <c r="A146" s="191" t="s">
        <v>286</v>
      </c>
      <c r="B146" s="197">
        <f t="shared" ref="B146:J146" si="23">(((((B140)+(B141))+(B142))+(B143))+(B144))+(B145)</f>
        <v>1969.89</v>
      </c>
      <c r="C146" s="197">
        <f t="shared" si="23"/>
        <v>1003.51</v>
      </c>
      <c r="D146" s="197">
        <f t="shared" si="23"/>
        <v>936.53</v>
      </c>
      <c r="E146" s="197">
        <f t="shared" si="23"/>
        <v>1161.07</v>
      </c>
      <c r="F146" s="197">
        <f t="shared" si="23"/>
        <v>1247.1399999999999</v>
      </c>
      <c r="G146" s="197">
        <f t="shared" si="23"/>
        <v>1319.53</v>
      </c>
      <c r="H146" s="197">
        <f t="shared" si="23"/>
        <v>3015.3500000000004</v>
      </c>
      <c r="I146" s="197">
        <f t="shared" si="23"/>
        <v>1693.05</v>
      </c>
      <c r="J146" s="198">
        <f t="shared" si="23"/>
        <v>1950</v>
      </c>
    </row>
    <row r="147" spans="1:11" x14ac:dyDescent="0.2">
      <c r="A147" s="191" t="s">
        <v>287</v>
      </c>
      <c r="B147" s="194">
        <f>1597.17</f>
        <v>1597.17</v>
      </c>
      <c r="C147" s="194">
        <f>2396.94</f>
        <v>2396.94</v>
      </c>
      <c r="D147" s="192"/>
      <c r="E147" s="192"/>
      <c r="F147" s="192"/>
      <c r="G147" s="192"/>
      <c r="H147" s="192"/>
      <c r="I147" s="192"/>
      <c r="J147" s="193"/>
    </row>
    <row r="148" spans="1:11" x14ac:dyDescent="0.2">
      <c r="A148" s="191" t="s">
        <v>288</v>
      </c>
      <c r="B148" s="192"/>
      <c r="C148" s="192"/>
      <c r="D148" s="194">
        <f>1138.9</f>
        <v>1138.9000000000001</v>
      </c>
      <c r="E148" s="194">
        <f>3237.7</f>
        <v>3237.7</v>
      </c>
      <c r="F148" s="194">
        <f>2497.18</f>
        <v>2497.1799999999998</v>
      </c>
      <c r="G148" s="194">
        <f>345.5</f>
        <v>345.5</v>
      </c>
      <c r="H148" s="194">
        <f>454.85</f>
        <v>454.85</v>
      </c>
      <c r="I148" s="194">
        <f>510.29</f>
        <v>510.29</v>
      </c>
      <c r="J148" s="195">
        <v>1200</v>
      </c>
    </row>
    <row r="149" spans="1:11" ht="25" x14ac:dyDescent="0.2">
      <c r="A149" s="191" t="s">
        <v>289</v>
      </c>
      <c r="B149" s="192"/>
      <c r="C149" s="192"/>
      <c r="D149" s="194">
        <f>2177.55</f>
        <v>2177.5500000000002</v>
      </c>
      <c r="E149" s="194">
        <f>1739.38</f>
        <v>1739.38</v>
      </c>
      <c r="F149" s="192"/>
      <c r="G149" s="194">
        <f>1658.8</f>
        <v>1658.8</v>
      </c>
      <c r="H149" s="192"/>
      <c r="I149" s="194">
        <f>719.64</f>
        <v>719.64</v>
      </c>
      <c r="J149" s="195">
        <v>750</v>
      </c>
    </row>
    <row r="150" spans="1:11" ht="48" x14ac:dyDescent="0.2">
      <c r="A150" s="191" t="s">
        <v>290</v>
      </c>
      <c r="B150" s="194">
        <f>22500</f>
        <v>22500</v>
      </c>
      <c r="C150" s="194">
        <f>30000</f>
        <v>30000</v>
      </c>
      <c r="D150" s="194">
        <f>30000</f>
        <v>30000</v>
      </c>
      <c r="E150" s="194">
        <f>30000</f>
        <v>30000</v>
      </c>
      <c r="F150" s="194">
        <f>30000</f>
        <v>30000</v>
      </c>
      <c r="G150" s="194">
        <f>30000</f>
        <v>30000</v>
      </c>
      <c r="H150" s="194">
        <f>37350.28</f>
        <v>37350.28</v>
      </c>
      <c r="I150" s="194">
        <f>21558.9</f>
        <v>21558.9</v>
      </c>
      <c r="J150" s="195">
        <v>42000</v>
      </c>
      <c r="K150" s="200" t="s">
        <v>341</v>
      </c>
    </row>
    <row r="151" spans="1:11" ht="25" x14ac:dyDescent="0.2">
      <c r="A151" s="191" t="s">
        <v>291</v>
      </c>
      <c r="B151" s="194">
        <f>2201.69</f>
        <v>2201.69</v>
      </c>
      <c r="C151" s="194">
        <f>1685</f>
        <v>1685</v>
      </c>
      <c r="D151" s="192"/>
      <c r="E151" s="192"/>
      <c r="F151" s="192"/>
      <c r="G151" s="192"/>
      <c r="H151" s="192"/>
      <c r="I151" s="192"/>
      <c r="J151" s="193"/>
    </row>
    <row r="152" spans="1:11" x14ac:dyDescent="0.2">
      <c r="A152" s="191" t="s">
        <v>292</v>
      </c>
      <c r="B152" s="197">
        <f t="shared" ref="B152:J152" si="24">((((B147)+(B148))+(B149))+(B150))+(B151)</f>
        <v>26298.859999999997</v>
      </c>
      <c r="C152" s="197">
        <f t="shared" si="24"/>
        <v>34081.94</v>
      </c>
      <c r="D152" s="197">
        <f t="shared" si="24"/>
        <v>33316.449999999997</v>
      </c>
      <c r="E152" s="197">
        <f t="shared" si="24"/>
        <v>34977.08</v>
      </c>
      <c r="F152" s="197">
        <f t="shared" si="24"/>
        <v>32497.18</v>
      </c>
      <c r="G152" s="197">
        <f t="shared" si="24"/>
        <v>32004.3</v>
      </c>
      <c r="H152" s="197">
        <f t="shared" si="24"/>
        <v>37805.129999999997</v>
      </c>
      <c r="I152" s="197">
        <f t="shared" si="24"/>
        <v>22788.83</v>
      </c>
      <c r="J152" s="198">
        <f t="shared" si="24"/>
        <v>43950</v>
      </c>
    </row>
    <row r="153" spans="1:11" x14ac:dyDescent="0.2">
      <c r="A153" s="191" t="s">
        <v>293</v>
      </c>
      <c r="B153" s="192"/>
      <c r="C153" s="194">
        <f>128.04</f>
        <v>128.04</v>
      </c>
      <c r="D153" s="192"/>
      <c r="E153" s="192"/>
      <c r="F153" s="192"/>
      <c r="G153" s="192"/>
      <c r="H153" s="192"/>
      <c r="I153" s="194">
        <f>44.97</f>
        <v>44.97</v>
      </c>
      <c r="J153" s="195">
        <v>0</v>
      </c>
    </row>
    <row r="154" spans="1:11" x14ac:dyDescent="0.2">
      <c r="A154" s="191" t="s">
        <v>294</v>
      </c>
      <c r="B154" s="192"/>
      <c r="C154" s="192"/>
      <c r="D154" s="192"/>
      <c r="E154" s="192"/>
      <c r="F154" s="192"/>
      <c r="G154" s="192"/>
      <c r="H154" s="192"/>
      <c r="I154" s="192"/>
      <c r="J154" s="193"/>
    </row>
    <row r="155" spans="1:11" x14ac:dyDescent="0.2">
      <c r="A155" s="191" t="s">
        <v>295</v>
      </c>
      <c r="B155" s="192"/>
      <c r="C155" s="192"/>
      <c r="D155" s="192"/>
      <c r="E155" s="192"/>
      <c r="F155" s="192"/>
      <c r="G155" s="192"/>
      <c r="H155" s="194">
        <f>407.88</f>
        <v>407.88</v>
      </c>
      <c r="I155" s="192"/>
      <c r="J155" s="193">
        <v>150</v>
      </c>
      <c r="K155" s="201" t="s">
        <v>338</v>
      </c>
    </row>
    <row r="156" spans="1:11" x14ac:dyDescent="0.2">
      <c r="A156" s="191" t="s">
        <v>296</v>
      </c>
      <c r="B156" s="192"/>
      <c r="C156" s="194">
        <f>150</f>
        <v>150</v>
      </c>
      <c r="D156" s="194">
        <f>120.27</f>
        <v>120.27</v>
      </c>
      <c r="E156" s="194">
        <f>166.21</f>
        <v>166.21</v>
      </c>
      <c r="F156" s="192"/>
      <c r="G156" s="194">
        <f>215</f>
        <v>215</v>
      </c>
      <c r="H156" s="194">
        <f>249.03</f>
        <v>249.03</v>
      </c>
      <c r="I156" s="192"/>
      <c r="J156" s="193">
        <v>150</v>
      </c>
    </row>
    <row r="157" spans="1:11" x14ac:dyDescent="0.2">
      <c r="A157" s="191" t="s">
        <v>297</v>
      </c>
      <c r="B157" s="192"/>
      <c r="C157" s="194">
        <f>121.88</f>
        <v>121.88</v>
      </c>
      <c r="D157" s="192"/>
      <c r="E157" s="192"/>
      <c r="F157" s="194">
        <f>250</f>
        <v>250</v>
      </c>
      <c r="G157" s="194">
        <f>163.33</f>
        <v>163.33000000000001</v>
      </c>
      <c r="H157" s="194">
        <f>250.06</f>
        <v>250.06</v>
      </c>
      <c r="I157" s="192"/>
      <c r="J157" s="193">
        <v>150</v>
      </c>
    </row>
    <row r="158" spans="1:11" x14ac:dyDescent="0.2">
      <c r="A158" s="191" t="s">
        <v>298</v>
      </c>
      <c r="B158" s="192"/>
      <c r="C158" s="194">
        <f>65.15</f>
        <v>65.150000000000006</v>
      </c>
      <c r="D158" s="192"/>
      <c r="E158" s="194">
        <f>133.18</f>
        <v>133.18</v>
      </c>
      <c r="F158" s="192"/>
      <c r="G158" s="194">
        <f>211.06</f>
        <v>211.06</v>
      </c>
      <c r="H158" s="192"/>
      <c r="I158" s="192"/>
      <c r="J158" s="193">
        <v>150</v>
      </c>
    </row>
    <row r="159" spans="1:11" x14ac:dyDescent="0.2">
      <c r="A159" s="191" t="s">
        <v>299</v>
      </c>
      <c r="B159" s="192"/>
      <c r="C159" s="192"/>
      <c r="D159" s="192"/>
      <c r="E159" s="192"/>
      <c r="F159" s="194">
        <f>250</f>
        <v>250</v>
      </c>
      <c r="G159" s="194">
        <f>90.13</f>
        <v>90.13</v>
      </c>
      <c r="H159" s="194">
        <f>250</f>
        <v>250</v>
      </c>
      <c r="I159" s="192"/>
      <c r="J159" s="193">
        <v>150</v>
      </c>
    </row>
    <row r="160" spans="1:11" x14ac:dyDescent="0.2">
      <c r="A160" s="191" t="s">
        <v>300</v>
      </c>
      <c r="B160" s="194">
        <f>66.89</f>
        <v>66.89</v>
      </c>
      <c r="C160" s="194">
        <f>143.78</f>
        <v>143.78</v>
      </c>
      <c r="D160" s="194">
        <f>124.95</f>
        <v>124.95</v>
      </c>
      <c r="E160" s="194">
        <f>150</f>
        <v>150</v>
      </c>
      <c r="F160" s="194">
        <f>181.21</f>
        <v>181.21</v>
      </c>
      <c r="G160" s="194">
        <f>243.64</f>
        <v>243.64</v>
      </c>
      <c r="H160" s="192"/>
      <c r="I160" s="192"/>
      <c r="J160" s="193">
        <v>150</v>
      </c>
    </row>
    <row r="161" spans="1:10" x14ac:dyDescent="0.2">
      <c r="A161" s="191" t="s">
        <v>301</v>
      </c>
      <c r="B161" s="192"/>
      <c r="C161" s="194">
        <f>134.6</f>
        <v>134.6</v>
      </c>
      <c r="D161" s="192"/>
      <c r="E161" s="192"/>
      <c r="F161" s="194">
        <f>143.91</f>
        <v>143.91</v>
      </c>
      <c r="G161" s="194">
        <f>79.46</f>
        <v>79.459999999999994</v>
      </c>
      <c r="H161" s="194">
        <f>248.52</f>
        <v>248.52</v>
      </c>
      <c r="I161" s="192"/>
      <c r="J161" s="193">
        <v>150</v>
      </c>
    </row>
    <row r="162" spans="1:10" x14ac:dyDescent="0.2">
      <c r="A162" s="191" t="s">
        <v>302</v>
      </c>
      <c r="B162" s="192"/>
      <c r="C162" s="194">
        <f>127.04</f>
        <v>127.04</v>
      </c>
      <c r="D162" s="194">
        <f>58.03</f>
        <v>58.03</v>
      </c>
      <c r="E162" s="192"/>
      <c r="F162" s="192"/>
      <c r="G162" s="192"/>
      <c r="H162" s="192"/>
      <c r="I162" s="192"/>
      <c r="J162" s="193"/>
    </row>
    <row r="163" spans="1:10" x14ac:dyDescent="0.2">
      <c r="A163" s="191" t="s">
        <v>303</v>
      </c>
      <c r="B163" s="192"/>
      <c r="C163" s="192"/>
      <c r="D163" s="194">
        <f>118.82</f>
        <v>118.82</v>
      </c>
      <c r="E163" s="192"/>
      <c r="F163" s="192"/>
      <c r="G163" s="192"/>
      <c r="H163" s="192"/>
      <c r="I163" s="192"/>
      <c r="J163" s="193"/>
    </row>
    <row r="164" spans="1:10" x14ac:dyDescent="0.2">
      <c r="A164" s="191" t="s">
        <v>304</v>
      </c>
      <c r="B164" s="194">
        <f>100</f>
        <v>100</v>
      </c>
      <c r="C164" s="192"/>
      <c r="D164" s="194">
        <f>150</f>
        <v>150</v>
      </c>
      <c r="E164" s="194">
        <f>150</f>
        <v>150</v>
      </c>
      <c r="F164" s="192"/>
      <c r="G164" s="192"/>
      <c r="H164" s="192"/>
      <c r="I164" s="192"/>
      <c r="J164" s="193"/>
    </row>
    <row r="165" spans="1:10" x14ac:dyDescent="0.2">
      <c r="A165" s="191" t="s">
        <v>305</v>
      </c>
      <c r="B165" s="192"/>
      <c r="C165" s="192"/>
      <c r="D165" s="194">
        <f>149.93</f>
        <v>149.93</v>
      </c>
      <c r="E165" s="192"/>
      <c r="F165" s="192"/>
      <c r="G165" s="192"/>
      <c r="H165" s="192"/>
      <c r="I165" s="192"/>
      <c r="J165" s="193"/>
    </row>
    <row r="166" spans="1:10" x14ac:dyDescent="0.2">
      <c r="A166" s="191" t="s">
        <v>306</v>
      </c>
      <c r="B166" s="194">
        <f>100</f>
        <v>100</v>
      </c>
      <c r="C166" s="192"/>
      <c r="D166" s="194">
        <f>154.77</f>
        <v>154.77000000000001</v>
      </c>
      <c r="E166" s="194">
        <f>106.69</f>
        <v>106.69</v>
      </c>
      <c r="F166" s="192"/>
      <c r="G166" s="192"/>
      <c r="H166" s="192"/>
      <c r="I166" s="192"/>
      <c r="J166" s="193"/>
    </row>
    <row r="167" spans="1:10" x14ac:dyDescent="0.2">
      <c r="A167" s="191" t="s">
        <v>307</v>
      </c>
      <c r="B167" s="197">
        <f t="shared" ref="B167:J167" si="25">((((((((((((B154)+(B155))+(B156))+(B157))+(B158))+(B159))+(B160))+(B161))+(B162))+(B163))+(B164))+(B165))+(B166)</f>
        <v>266.89</v>
      </c>
      <c r="C167" s="197">
        <f t="shared" si="25"/>
        <v>742.44999999999993</v>
      </c>
      <c r="D167" s="197">
        <f t="shared" si="25"/>
        <v>876.77</v>
      </c>
      <c r="E167" s="197">
        <f t="shared" si="25"/>
        <v>706.07999999999993</v>
      </c>
      <c r="F167" s="197">
        <f t="shared" si="25"/>
        <v>825.12</v>
      </c>
      <c r="G167" s="197">
        <f t="shared" si="25"/>
        <v>1002.6200000000001</v>
      </c>
      <c r="H167" s="197">
        <f t="shared" si="25"/>
        <v>1405.49</v>
      </c>
      <c r="I167" s="197">
        <f t="shared" si="25"/>
        <v>0</v>
      </c>
      <c r="J167" s="198">
        <f t="shared" si="25"/>
        <v>1050</v>
      </c>
    </row>
    <row r="168" spans="1:10" x14ac:dyDescent="0.2">
      <c r="A168" s="191" t="s">
        <v>308</v>
      </c>
      <c r="B168" s="192"/>
      <c r="C168" s="192"/>
      <c r="D168" s="192"/>
      <c r="E168" s="194">
        <f>1521.69</f>
        <v>1521.69</v>
      </c>
      <c r="F168" s="194">
        <f>20.05</f>
        <v>20.05</v>
      </c>
      <c r="G168" s="192"/>
      <c r="H168" s="194">
        <f>0</f>
        <v>0</v>
      </c>
      <c r="I168" s="192"/>
      <c r="J168" s="193"/>
    </row>
    <row r="169" spans="1:10" x14ac:dyDescent="0.2">
      <c r="A169" s="191" t="s">
        <v>309</v>
      </c>
      <c r="B169" s="192"/>
      <c r="C169" s="192"/>
      <c r="D169" s="192"/>
      <c r="E169" s="192"/>
      <c r="F169" s="194">
        <f>-2777.67</f>
        <v>-2777.67</v>
      </c>
      <c r="G169" s="194">
        <f>-1858.16</f>
        <v>-1858.16</v>
      </c>
      <c r="H169" s="194">
        <f>-712.22</f>
        <v>-712.22</v>
      </c>
      <c r="I169" s="194">
        <f>-30.16</f>
        <v>-30.16</v>
      </c>
      <c r="J169" s="195">
        <v>0</v>
      </c>
    </row>
    <row r="170" spans="1:10" x14ac:dyDescent="0.2">
      <c r="A170" s="191" t="s">
        <v>310</v>
      </c>
      <c r="B170" s="192"/>
      <c r="C170" s="192"/>
      <c r="D170" s="192"/>
      <c r="E170" s="192"/>
      <c r="F170" s="194">
        <f>3687</f>
        <v>3687</v>
      </c>
      <c r="G170" s="194">
        <f>1893</f>
        <v>1893</v>
      </c>
      <c r="H170" s="194">
        <f>996</f>
        <v>996</v>
      </c>
      <c r="I170" s="194">
        <f>-299</f>
        <v>-299</v>
      </c>
      <c r="J170" s="195">
        <v>0</v>
      </c>
    </row>
    <row r="171" spans="1:10" x14ac:dyDescent="0.2">
      <c r="A171" s="191" t="s">
        <v>311</v>
      </c>
      <c r="B171" s="197">
        <f t="shared" ref="B171:J171" si="26">(B169)+(B170)</f>
        <v>0</v>
      </c>
      <c r="C171" s="197">
        <f t="shared" si="26"/>
        <v>0</v>
      </c>
      <c r="D171" s="197">
        <f t="shared" si="26"/>
        <v>0</v>
      </c>
      <c r="E171" s="197">
        <f t="shared" si="26"/>
        <v>0</v>
      </c>
      <c r="F171" s="197">
        <f t="shared" si="26"/>
        <v>909.32999999999993</v>
      </c>
      <c r="G171" s="197">
        <f t="shared" si="26"/>
        <v>34.839999999999918</v>
      </c>
      <c r="H171" s="197">
        <f t="shared" si="26"/>
        <v>283.77999999999997</v>
      </c>
      <c r="I171" s="197">
        <f t="shared" si="26"/>
        <v>-329.16</v>
      </c>
      <c r="J171" s="198">
        <f t="shared" si="26"/>
        <v>0</v>
      </c>
    </row>
    <row r="172" spans="1:10" x14ac:dyDescent="0.2">
      <c r="A172" s="191" t="s">
        <v>312</v>
      </c>
      <c r="B172" s="197">
        <f t="shared" ref="B172:J172" si="27">(((B153)+(B167))+(B168))+(B171)</f>
        <v>266.89</v>
      </c>
      <c r="C172" s="197">
        <f t="shared" si="27"/>
        <v>870.4899999999999</v>
      </c>
      <c r="D172" s="197">
        <f t="shared" si="27"/>
        <v>876.77</v>
      </c>
      <c r="E172" s="197">
        <f t="shared" si="27"/>
        <v>2227.77</v>
      </c>
      <c r="F172" s="197">
        <f t="shared" si="27"/>
        <v>1754.5</v>
      </c>
      <c r="G172" s="197">
        <f t="shared" si="27"/>
        <v>1037.46</v>
      </c>
      <c r="H172" s="197">
        <f t="shared" si="27"/>
        <v>1689.27</v>
      </c>
      <c r="I172" s="197">
        <f t="shared" si="27"/>
        <v>-284.19000000000005</v>
      </c>
      <c r="J172" s="198">
        <f t="shared" si="27"/>
        <v>1050</v>
      </c>
    </row>
    <row r="173" spans="1:10" x14ac:dyDescent="0.2">
      <c r="A173" s="191" t="s">
        <v>313</v>
      </c>
      <c r="B173" s="192"/>
      <c r="C173" s="194">
        <f>2691.62</f>
        <v>2691.62</v>
      </c>
      <c r="D173" s="194">
        <f>50.22</f>
        <v>50.22</v>
      </c>
      <c r="E173" s="192"/>
      <c r="F173" s="194">
        <f>4778.63</f>
        <v>4778.63</v>
      </c>
      <c r="G173" s="192"/>
      <c r="H173" s="192"/>
      <c r="I173" s="192"/>
      <c r="J173" s="193"/>
    </row>
    <row r="174" spans="1:10" x14ac:dyDescent="0.2">
      <c r="A174" s="191" t="s">
        <v>314</v>
      </c>
      <c r="B174" s="197">
        <f t="shared" ref="B174:J174" si="28">((((((((((B74)+(B104))+(B109))+(B120))+(B124))+(B135))+(B139))+(B146))+(B152))+(B172))+(B173)</f>
        <v>214124.28000000003</v>
      </c>
      <c r="C174" s="197">
        <f t="shared" si="28"/>
        <v>236289.28999999998</v>
      </c>
      <c r="D174" s="197">
        <f t="shared" si="28"/>
        <v>231212.97000000003</v>
      </c>
      <c r="E174" s="197">
        <f t="shared" si="28"/>
        <v>231887.84</v>
      </c>
      <c r="F174" s="197">
        <f t="shared" si="28"/>
        <v>271820.08</v>
      </c>
      <c r="G174" s="197">
        <f t="shared" si="28"/>
        <v>271100.75000000006</v>
      </c>
      <c r="H174" s="197">
        <f t="shared" si="28"/>
        <v>315875.87</v>
      </c>
      <c r="I174" s="197">
        <f t="shared" si="28"/>
        <v>266494.25</v>
      </c>
      <c r="J174" s="198">
        <f t="shared" si="28"/>
        <v>362651.03</v>
      </c>
    </row>
    <row r="175" spans="1:10" x14ac:dyDescent="0.2">
      <c r="A175" s="191" t="s">
        <v>315</v>
      </c>
      <c r="B175" s="197">
        <f t="shared" ref="B175:J175" si="29">(B61)-(B174)</f>
        <v>28000.51999999996</v>
      </c>
      <c r="C175" s="197">
        <f t="shared" si="29"/>
        <v>7186.0200000000186</v>
      </c>
      <c r="D175" s="197">
        <f t="shared" si="29"/>
        <v>47342.200000000012</v>
      </c>
      <c r="E175" s="197">
        <f t="shared" si="29"/>
        <v>79861.440000000031</v>
      </c>
      <c r="F175" s="197">
        <f t="shared" si="29"/>
        <v>31214.819999999949</v>
      </c>
      <c r="G175" s="197">
        <f t="shared" si="29"/>
        <v>49341.769999999902</v>
      </c>
      <c r="H175" s="197">
        <f t="shared" si="29"/>
        <v>-7081.7999999999884</v>
      </c>
      <c r="I175" s="197">
        <f t="shared" si="29"/>
        <v>64822.910000000033</v>
      </c>
      <c r="J175" s="198">
        <f t="shared" si="29"/>
        <v>-10462.030000000028</v>
      </c>
    </row>
    <row r="176" spans="1:10" x14ac:dyDescent="0.2">
      <c r="A176" s="191" t="s">
        <v>316</v>
      </c>
      <c r="B176" s="197">
        <f t="shared" ref="B176:J176" si="30">(B175)+(0)</f>
        <v>28000.51999999996</v>
      </c>
      <c r="C176" s="197">
        <f t="shared" si="30"/>
        <v>7186.0200000000186</v>
      </c>
      <c r="D176" s="197">
        <f t="shared" si="30"/>
        <v>47342.200000000012</v>
      </c>
      <c r="E176" s="197">
        <f t="shared" si="30"/>
        <v>79861.440000000031</v>
      </c>
      <c r="F176" s="197">
        <f t="shared" si="30"/>
        <v>31214.819999999949</v>
      </c>
      <c r="G176" s="197">
        <f t="shared" si="30"/>
        <v>49341.769999999902</v>
      </c>
      <c r="H176" s="197">
        <f t="shared" si="30"/>
        <v>-7081.7999999999884</v>
      </c>
      <c r="I176" s="197">
        <f t="shared" si="30"/>
        <v>64822.910000000033</v>
      </c>
      <c r="J176" s="198">
        <f t="shared" si="30"/>
        <v>-10462.030000000028</v>
      </c>
    </row>
    <row r="177" spans="1:10" x14ac:dyDescent="0.2">
      <c r="A177" s="191"/>
      <c r="B177" s="192"/>
      <c r="C177" s="192"/>
      <c r="D177" s="192"/>
      <c r="E177" s="192"/>
      <c r="F177" s="192"/>
      <c r="G177" s="192"/>
      <c r="H177" s="192"/>
      <c r="I177" s="192"/>
      <c r="J177" s="192"/>
    </row>
    <row r="180" spans="1:10" x14ac:dyDescent="0.2">
      <c r="A180" s="205" t="s">
        <v>317</v>
      </c>
      <c r="B180" s="203"/>
      <c r="C180" s="203"/>
      <c r="D180" s="203"/>
      <c r="E180" s="203"/>
      <c r="F180" s="203"/>
      <c r="G180" s="203"/>
      <c r="H180" s="203"/>
      <c r="I180" s="203"/>
      <c r="J180" s="203"/>
    </row>
  </sheetData>
  <mergeCells count="4">
    <mergeCell ref="A1:J1"/>
    <mergeCell ref="A2:J2"/>
    <mergeCell ref="A3:J3"/>
    <mergeCell ref="A180:J1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0998-D9D5-7247-9FB9-676A6A6307E4}">
  <dimension ref="A1:J227"/>
  <sheetViews>
    <sheetView topLeftCell="A44" workbookViewId="0">
      <selection activeCell="G70" sqref="G70"/>
    </sheetView>
  </sheetViews>
  <sheetFormatPr baseColWidth="10" defaultRowHeight="16" x14ac:dyDescent="0.2"/>
  <cols>
    <col min="2" max="2" width="47.6640625" style="9" customWidth="1"/>
    <col min="3" max="3" width="12.33203125" style="10" bestFit="1" customWidth="1"/>
    <col min="4" max="4" width="12.83203125" style="11" bestFit="1" customWidth="1"/>
    <col min="5" max="5" width="13.83203125" style="11" customWidth="1"/>
    <col min="6" max="6" width="13.33203125" style="12" bestFit="1" customWidth="1"/>
    <col min="7" max="7" width="76" style="167" customWidth="1"/>
  </cols>
  <sheetData>
    <row r="1" spans="1:7" ht="24" x14ac:dyDescent="0.2">
      <c r="A1" s="114" t="s">
        <v>333</v>
      </c>
      <c r="B1" s="115"/>
      <c r="C1" s="113"/>
      <c r="D1" s="113"/>
      <c r="E1" s="113"/>
      <c r="F1" s="113"/>
      <c r="G1" s="142"/>
    </row>
    <row r="2" spans="1:7" x14ac:dyDescent="0.2">
      <c r="B2" s="7"/>
      <c r="C2" s="8"/>
      <c r="D2" s="8"/>
      <c r="E2" s="8"/>
      <c r="F2" s="8"/>
      <c r="G2" s="166"/>
    </row>
    <row r="3" spans="1:7" ht="17" thickBot="1" x14ac:dyDescent="0.25">
      <c r="A3" s="116" t="s">
        <v>56</v>
      </c>
    </row>
    <row r="4" spans="1:7" ht="36" thickTop="1" thickBot="1" x14ac:dyDescent="0.25">
      <c r="A4" s="116"/>
      <c r="B4" s="13" t="s">
        <v>0</v>
      </c>
      <c r="C4" s="14" t="s">
        <v>1</v>
      </c>
      <c r="D4" s="15" t="s">
        <v>2</v>
      </c>
      <c r="E4" s="15" t="s">
        <v>3</v>
      </c>
      <c r="F4" s="16" t="s">
        <v>4</v>
      </c>
    </row>
    <row r="5" spans="1:7" x14ac:dyDescent="0.2">
      <c r="A5" s="116">
        <v>4110</v>
      </c>
      <c r="B5" s="5" t="s">
        <v>28</v>
      </c>
      <c r="C5" s="135"/>
      <c r="D5" s="136"/>
      <c r="E5" s="136"/>
      <c r="F5" s="137"/>
    </row>
    <row r="6" spans="1:7" x14ac:dyDescent="0.2">
      <c r="A6" s="116">
        <v>4111</v>
      </c>
      <c r="B6" s="6" t="s">
        <v>29</v>
      </c>
      <c r="C6" s="19">
        <v>132</v>
      </c>
      <c r="D6" s="17">
        <v>249</v>
      </c>
      <c r="E6" s="17">
        <f>SUM(C6*D6)</f>
        <v>32868</v>
      </c>
      <c r="F6" s="18"/>
    </row>
    <row r="7" spans="1:7" x14ac:dyDescent="0.2">
      <c r="A7" s="116">
        <v>4112</v>
      </c>
      <c r="B7" s="6" t="s">
        <v>30</v>
      </c>
      <c r="C7" s="19">
        <v>11</v>
      </c>
      <c r="D7" s="17">
        <v>269</v>
      </c>
      <c r="E7" s="17">
        <f>SUM(C7*D7)</f>
        <v>2959</v>
      </c>
      <c r="F7" s="18"/>
    </row>
    <row r="8" spans="1:7" x14ac:dyDescent="0.2">
      <c r="A8" s="116">
        <v>4113</v>
      </c>
      <c r="B8" s="84" t="s">
        <v>31</v>
      </c>
      <c r="C8" s="106">
        <v>11</v>
      </c>
      <c r="D8" s="85">
        <v>299</v>
      </c>
      <c r="E8" s="85">
        <f>SUM(C8*D8)</f>
        <v>3289</v>
      </c>
      <c r="F8" s="86"/>
    </row>
    <row r="9" spans="1:7" x14ac:dyDescent="0.2">
      <c r="A9" s="116">
        <v>4120</v>
      </c>
      <c r="B9" s="6" t="s">
        <v>32</v>
      </c>
      <c r="C9" s="138"/>
      <c r="D9" s="139"/>
      <c r="E9" s="139"/>
      <c r="F9" s="140"/>
    </row>
    <row r="10" spans="1:7" x14ac:dyDescent="0.2">
      <c r="A10" s="116">
        <v>4121</v>
      </c>
      <c r="B10" s="6" t="s">
        <v>29</v>
      </c>
      <c r="C10" s="19">
        <v>633</v>
      </c>
      <c r="D10" s="17">
        <v>199</v>
      </c>
      <c r="E10" s="17">
        <f>SUM(C10*D10)</f>
        <v>125967</v>
      </c>
      <c r="F10" s="18"/>
    </row>
    <row r="11" spans="1:7" x14ac:dyDescent="0.2">
      <c r="A11" s="116">
        <v>4122</v>
      </c>
      <c r="B11" s="6" t="s">
        <v>30</v>
      </c>
      <c r="C11" s="19">
        <v>39</v>
      </c>
      <c r="D11" s="17">
        <v>219</v>
      </c>
      <c r="E11" s="17">
        <f>SUM(C11*D11)</f>
        <v>8541</v>
      </c>
      <c r="F11" s="18"/>
    </row>
    <row r="12" spans="1:7" x14ac:dyDescent="0.2">
      <c r="A12" s="116">
        <v>4123</v>
      </c>
      <c r="B12" s="6" t="s">
        <v>31</v>
      </c>
      <c r="C12" s="19">
        <v>22</v>
      </c>
      <c r="D12" s="17">
        <v>239</v>
      </c>
      <c r="E12" s="17">
        <f>SUM(C12*D12)</f>
        <v>5258</v>
      </c>
      <c r="F12" s="18"/>
    </row>
    <row r="13" spans="1:7" x14ac:dyDescent="0.2">
      <c r="A13" s="116">
        <v>4130</v>
      </c>
      <c r="B13" s="6" t="s">
        <v>33</v>
      </c>
      <c r="C13" s="138"/>
      <c r="D13" s="139"/>
      <c r="E13" s="139"/>
      <c r="F13" s="140"/>
    </row>
    <row r="14" spans="1:7" x14ac:dyDescent="0.2">
      <c r="A14" s="116">
        <v>4131</v>
      </c>
      <c r="B14" s="6" t="s">
        <v>29</v>
      </c>
      <c r="C14" s="19">
        <v>121</v>
      </c>
      <c r="D14" s="17">
        <v>99</v>
      </c>
      <c r="E14" s="17">
        <f>SUM(C14*D14)</f>
        <v>11979</v>
      </c>
      <c r="F14" s="18"/>
    </row>
    <row r="15" spans="1:7" x14ac:dyDescent="0.2">
      <c r="A15" s="116">
        <v>4132</v>
      </c>
      <c r="B15" s="6" t="s">
        <v>30</v>
      </c>
      <c r="C15" s="19">
        <v>11</v>
      </c>
      <c r="D15" s="17">
        <v>119</v>
      </c>
      <c r="E15" s="17">
        <f>SUM(C15*D15)</f>
        <v>1309</v>
      </c>
      <c r="F15" s="18"/>
      <c r="G15" s="168"/>
    </row>
    <row r="16" spans="1:7" x14ac:dyDescent="0.2">
      <c r="A16" s="116">
        <v>4133</v>
      </c>
      <c r="B16" s="6" t="s">
        <v>31</v>
      </c>
      <c r="C16" s="19">
        <v>6</v>
      </c>
      <c r="D16" s="17">
        <v>139</v>
      </c>
      <c r="E16" s="17">
        <f>SUM(C16*D16)</f>
        <v>834</v>
      </c>
      <c r="F16" s="18"/>
    </row>
    <row r="17" spans="1:6" x14ac:dyDescent="0.2">
      <c r="A17" s="116"/>
      <c r="B17" s="6" t="s">
        <v>93</v>
      </c>
      <c r="C17" s="138"/>
      <c r="D17" s="139"/>
      <c r="E17" s="139"/>
      <c r="F17" s="140"/>
    </row>
    <row r="18" spans="1:6" ht="17" thickBot="1" x14ac:dyDescent="0.25">
      <c r="A18" s="116"/>
      <c r="B18" s="6" t="s">
        <v>94</v>
      </c>
      <c r="C18" s="19">
        <v>6</v>
      </c>
      <c r="D18" s="17">
        <v>180</v>
      </c>
      <c r="E18" s="17">
        <f>SUM(C18*D18)</f>
        <v>1080</v>
      </c>
      <c r="F18" s="18"/>
    </row>
    <row r="19" spans="1:6" ht="17" thickBot="1" x14ac:dyDescent="0.25">
      <c r="A19" s="116">
        <v>4100</v>
      </c>
      <c r="B19" s="87" t="s">
        <v>5</v>
      </c>
      <c r="C19" s="88">
        <f>SUM(C6:C18)</f>
        <v>992</v>
      </c>
      <c r="D19" s="89"/>
      <c r="E19" s="89"/>
      <c r="F19" s="90">
        <f>SUM(E6:E18)</f>
        <v>194084</v>
      </c>
    </row>
    <row r="20" spans="1:6" ht="17" thickBot="1" x14ac:dyDescent="0.25">
      <c r="A20" s="116"/>
      <c r="B20" s="125"/>
      <c r="C20" s="126"/>
      <c r="D20" s="127"/>
      <c r="E20" s="127"/>
      <c r="F20" s="128"/>
    </row>
    <row r="21" spans="1:6" ht="17" thickBot="1" x14ac:dyDescent="0.25">
      <c r="A21" s="116">
        <v>4140</v>
      </c>
      <c r="B21" s="110" t="s">
        <v>34</v>
      </c>
      <c r="C21" s="132"/>
      <c r="D21" s="133"/>
      <c r="E21" s="133"/>
      <c r="F21" s="134"/>
    </row>
    <row r="22" spans="1:6" x14ac:dyDescent="0.2">
      <c r="A22" s="116">
        <v>4141</v>
      </c>
      <c r="B22" s="109" t="s">
        <v>35</v>
      </c>
      <c r="C22" s="107"/>
      <c r="D22" s="20"/>
      <c r="E22" s="20">
        <v>14000</v>
      </c>
      <c r="F22" s="21"/>
    </row>
    <row r="23" spans="1:6" x14ac:dyDescent="0.2">
      <c r="A23" s="116"/>
      <c r="B23" s="109" t="s">
        <v>83</v>
      </c>
      <c r="C23" s="118"/>
      <c r="D23" s="119"/>
      <c r="E23" s="119">
        <v>650</v>
      </c>
      <c r="F23" s="120"/>
    </row>
    <row r="24" spans="1:6" x14ac:dyDescent="0.2">
      <c r="A24" s="116">
        <v>4143</v>
      </c>
      <c r="B24" s="1" t="s">
        <v>7</v>
      </c>
      <c r="C24" s="22"/>
      <c r="D24" s="23"/>
      <c r="E24" s="23">
        <v>25000</v>
      </c>
      <c r="F24" s="24"/>
    </row>
    <row r="25" spans="1:6" x14ac:dyDescent="0.2">
      <c r="A25" s="116">
        <v>4144</v>
      </c>
      <c r="B25" s="1" t="s">
        <v>36</v>
      </c>
      <c r="C25" s="22"/>
      <c r="D25" s="23"/>
      <c r="E25" s="23">
        <v>0</v>
      </c>
      <c r="F25" s="24"/>
    </row>
    <row r="26" spans="1:6" x14ac:dyDescent="0.2">
      <c r="A26" s="116">
        <v>4145</v>
      </c>
      <c r="B26" s="1" t="s">
        <v>37</v>
      </c>
      <c r="C26" s="108"/>
      <c r="D26" s="23"/>
      <c r="E26" s="23">
        <v>1000</v>
      </c>
      <c r="F26" s="24"/>
    </row>
    <row r="27" spans="1:6" x14ac:dyDescent="0.2">
      <c r="A27" s="116">
        <v>4146</v>
      </c>
      <c r="B27" s="1" t="s">
        <v>38</v>
      </c>
      <c r="C27" s="22"/>
      <c r="D27" s="23"/>
      <c r="E27" s="23">
        <v>0</v>
      </c>
      <c r="F27" s="24"/>
    </row>
    <row r="28" spans="1:6" ht="17" thickBot="1" x14ac:dyDescent="0.25">
      <c r="A28" s="116">
        <v>4149</v>
      </c>
      <c r="B28" s="2" t="s">
        <v>84</v>
      </c>
      <c r="C28" s="3"/>
      <c r="D28" s="25"/>
      <c r="E28" s="25">
        <v>5000</v>
      </c>
      <c r="F28" s="26"/>
    </row>
    <row r="29" spans="1:6" ht="17" thickBot="1" x14ac:dyDescent="0.25">
      <c r="A29" s="116"/>
      <c r="B29" s="27" t="s">
        <v>6</v>
      </c>
      <c r="C29" s="28"/>
      <c r="D29" s="29"/>
      <c r="E29" s="111">
        <f>SUM(E22:E28)</f>
        <v>45650</v>
      </c>
      <c r="F29" s="112"/>
    </row>
    <row r="30" spans="1:6" x14ac:dyDescent="0.2">
      <c r="A30" s="116">
        <v>4150</v>
      </c>
      <c r="B30" s="124" t="s">
        <v>39</v>
      </c>
      <c r="C30" s="129"/>
      <c r="D30" s="130"/>
      <c r="E30" s="130"/>
      <c r="F30" s="131"/>
    </row>
    <row r="31" spans="1:6" x14ac:dyDescent="0.2">
      <c r="A31" s="116">
        <v>4151</v>
      </c>
      <c r="B31" s="1" t="s">
        <v>57</v>
      </c>
      <c r="C31" s="162"/>
      <c r="D31" s="163">
        <f>_xlfn.SINGLE(SUM(E32:E36))</f>
        <v>5465</v>
      </c>
      <c r="E31" s="163"/>
      <c r="F31" s="164"/>
    </row>
    <row r="32" spans="1:6" x14ac:dyDescent="0.2">
      <c r="A32" s="116"/>
      <c r="B32" s="1" t="s">
        <v>95</v>
      </c>
      <c r="C32" s="44">
        <v>65</v>
      </c>
      <c r="D32" s="23">
        <v>50</v>
      </c>
      <c r="E32" s="23">
        <f>SUM(C32*D32)</f>
        <v>3250</v>
      </c>
      <c r="F32" s="24"/>
    </row>
    <row r="33" spans="1:7" x14ac:dyDescent="0.2">
      <c r="A33" s="116"/>
      <c r="B33" s="1" t="s">
        <v>96</v>
      </c>
      <c r="C33" s="44">
        <v>5</v>
      </c>
      <c r="D33" s="23">
        <v>65</v>
      </c>
      <c r="E33" s="23">
        <f>SUM(C33*D33)</f>
        <v>325</v>
      </c>
      <c r="F33" s="24"/>
    </row>
    <row r="34" spans="1:7" x14ac:dyDescent="0.2">
      <c r="A34" s="116">
        <v>4152</v>
      </c>
      <c r="B34" s="1" t="s">
        <v>58</v>
      </c>
      <c r="C34" s="162"/>
      <c r="D34" s="163"/>
      <c r="E34" s="163"/>
      <c r="F34" s="164"/>
    </row>
    <row r="35" spans="1:7" x14ac:dyDescent="0.2">
      <c r="A35" s="116"/>
      <c r="B35" s="109" t="s">
        <v>95</v>
      </c>
      <c r="C35" s="165">
        <v>15</v>
      </c>
      <c r="D35" s="119">
        <v>100</v>
      </c>
      <c r="E35" s="119">
        <f>SUM(C35*D35)</f>
        <v>1500</v>
      </c>
      <c r="F35" s="120"/>
    </row>
    <row r="36" spans="1:7" ht="17" thickBot="1" x14ac:dyDescent="0.25">
      <c r="A36" s="116"/>
      <c r="B36" s="1" t="s">
        <v>96</v>
      </c>
      <c r="C36" s="44">
        <v>3</v>
      </c>
      <c r="D36" s="23">
        <v>130</v>
      </c>
      <c r="E36" s="23">
        <f>SUM(C36*D36)</f>
        <v>390</v>
      </c>
      <c r="F36" s="24"/>
    </row>
    <row r="37" spans="1:7" ht="17" thickBot="1" x14ac:dyDescent="0.25">
      <c r="A37" s="116"/>
      <c r="B37" s="81" t="s">
        <v>8</v>
      </c>
      <c r="C37" s="82">
        <f>_xlfn.SINGLE(SUM(C32:C36))</f>
        <v>88</v>
      </c>
      <c r="D37" s="83"/>
      <c r="E37" s="83">
        <v>51115</v>
      </c>
      <c r="F37" s="30"/>
      <c r="G37" s="144"/>
    </row>
    <row r="38" spans="1:7" ht="17" thickBot="1" x14ac:dyDescent="0.25">
      <c r="A38" s="116">
        <v>4000</v>
      </c>
      <c r="B38" s="31" t="s">
        <v>9</v>
      </c>
      <c r="C38" s="32"/>
      <c r="D38" s="33"/>
      <c r="E38" s="33"/>
      <c r="F38" s="34">
        <f>SUM(E37+F19)</f>
        <v>245199</v>
      </c>
      <c r="G38" s="169"/>
    </row>
    <row r="39" spans="1:7" ht="17" thickBot="1" x14ac:dyDescent="0.25">
      <c r="A39" s="116"/>
      <c r="B39" s="81"/>
      <c r="C39" s="82"/>
      <c r="D39" s="83"/>
      <c r="E39" s="83"/>
      <c r="F39" s="30"/>
      <c r="G39" s="170"/>
    </row>
    <row r="40" spans="1:7" ht="35" thickBot="1" x14ac:dyDescent="0.25">
      <c r="A40" s="116"/>
      <c r="B40" s="35" t="s">
        <v>10</v>
      </c>
      <c r="C40" s="28" t="s">
        <v>1</v>
      </c>
      <c r="D40" s="36" t="s">
        <v>2</v>
      </c>
      <c r="E40" s="36" t="s">
        <v>11</v>
      </c>
      <c r="F40" s="37" t="s">
        <v>12</v>
      </c>
    </row>
    <row r="41" spans="1:7" x14ac:dyDescent="0.2">
      <c r="A41" s="116"/>
      <c r="B41" s="46" t="s">
        <v>40</v>
      </c>
      <c r="C41" s="47"/>
      <c r="D41" s="48"/>
      <c r="E41" s="49"/>
      <c r="F41" s="50">
        <f>SUM(E42:E43)</f>
        <v>4500</v>
      </c>
      <c r="G41" s="171"/>
    </row>
    <row r="42" spans="1:7" x14ac:dyDescent="0.2">
      <c r="A42" s="116">
        <v>5101</v>
      </c>
      <c r="B42" s="93" t="s">
        <v>100</v>
      </c>
      <c r="C42" s="94"/>
      <c r="D42" s="95"/>
      <c r="E42" s="95">
        <v>3000</v>
      </c>
      <c r="F42" s="96"/>
      <c r="G42" s="171"/>
    </row>
    <row r="43" spans="1:7" x14ac:dyDescent="0.2">
      <c r="A43" s="116">
        <v>5102</v>
      </c>
      <c r="B43" s="93" t="s">
        <v>101</v>
      </c>
      <c r="C43" s="94"/>
      <c r="D43" s="95"/>
      <c r="E43" s="95">
        <v>1500</v>
      </c>
      <c r="F43" s="96"/>
      <c r="G43" s="171"/>
    </row>
    <row r="44" spans="1:7" x14ac:dyDescent="0.2">
      <c r="A44" s="116">
        <v>5104</v>
      </c>
      <c r="B44" s="46" t="s">
        <v>59</v>
      </c>
      <c r="C44" s="47"/>
      <c r="D44" s="48"/>
      <c r="E44" s="49"/>
      <c r="F44" s="50">
        <f>SUM(E45:E46)</f>
        <v>3500</v>
      </c>
      <c r="G44" s="171"/>
    </row>
    <row r="45" spans="1:7" ht="17" x14ac:dyDescent="0.2">
      <c r="A45" s="116"/>
      <c r="B45" s="93" t="s">
        <v>60</v>
      </c>
      <c r="C45" s="94">
        <v>50</v>
      </c>
      <c r="D45" s="95">
        <v>50</v>
      </c>
      <c r="E45" s="95">
        <v>2400</v>
      </c>
      <c r="F45" s="96"/>
      <c r="G45" s="171" t="s">
        <v>107</v>
      </c>
    </row>
    <row r="46" spans="1:7" x14ac:dyDescent="0.2">
      <c r="A46" s="116"/>
      <c r="B46" s="93" t="s">
        <v>102</v>
      </c>
      <c r="C46" s="94">
        <v>1</v>
      </c>
      <c r="D46" s="95"/>
      <c r="E46" s="95">
        <v>1100</v>
      </c>
      <c r="F46" s="96"/>
      <c r="G46" s="171"/>
    </row>
    <row r="47" spans="1:7" x14ac:dyDescent="0.2">
      <c r="A47" s="116">
        <v>5105</v>
      </c>
      <c r="B47" s="46" t="s">
        <v>61</v>
      </c>
      <c r="C47" s="47"/>
      <c r="D47" s="48"/>
      <c r="E47" s="49"/>
      <c r="F47" s="50">
        <f>SUM(E48:E51)</f>
        <v>28410</v>
      </c>
      <c r="G47" s="171"/>
    </row>
    <row r="48" spans="1:7" x14ac:dyDescent="0.2">
      <c r="A48" s="116"/>
      <c r="B48" s="91" t="s">
        <v>27</v>
      </c>
      <c r="C48" s="22"/>
      <c r="D48" s="45"/>
      <c r="E48" s="45">
        <v>0</v>
      </c>
      <c r="F48" s="24"/>
      <c r="G48" s="171"/>
    </row>
    <row r="49" spans="1:8" x14ac:dyDescent="0.2">
      <c r="A49" s="116"/>
      <c r="B49" s="91" t="s">
        <v>52</v>
      </c>
      <c r="C49" s="22">
        <v>3</v>
      </c>
      <c r="D49" s="45">
        <v>270</v>
      </c>
      <c r="E49" s="45">
        <f>SUM(C49*D49)</f>
        <v>810</v>
      </c>
      <c r="F49" s="24"/>
      <c r="G49" s="171"/>
    </row>
    <row r="50" spans="1:8" x14ac:dyDescent="0.2">
      <c r="A50" s="116"/>
      <c r="B50" s="1" t="s">
        <v>16</v>
      </c>
      <c r="C50" s="44"/>
      <c r="D50" s="23"/>
      <c r="E50" s="23">
        <v>24000</v>
      </c>
      <c r="F50" s="24"/>
      <c r="G50" s="172"/>
    </row>
    <row r="51" spans="1:8" ht="17" x14ac:dyDescent="0.2">
      <c r="A51" s="116"/>
      <c r="B51" s="1" t="s">
        <v>124</v>
      </c>
      <c r="C51" s="44"/>
      <c r="D51" s="23"/>
      <c r="E51" s="23">
        <v>3600</v>
      </c>
      <c r="F51" s="24"/>
      <c r="G51" s="172" t="s">
        <v>125</v>
      </c>
    </row>
    <row r="52" spans="1:8" ht="68" x14ac:dyDescent="0.2">
      <c r="A52" s="116">
        <v>5106</v>
      </c>
      <c r="B52" s="104" t="s">
        <v>62</v>
      </c>
      <c r="C52" s="51"/>
      <c r="D52" s="105"/>
      <c r="E52" s="105"/>
      <c r="F52" s="185">
        <f>_xlfn.SINGLE(SUM(E53:E70))</f>
        <v>92700</v>
      </c>
      <c r="G52" s="143" t="s">
        <v>126</v>
      </c>
    </row>
    <row r="53" spans="1:8" x14ac:dyDescent="0.2">
      <c r="A53" s="116"/>
      <c r="B53" s="38" t="s">
        <v>41</v>
      </c>
      <c r="C53" s="39"/>
      <c r="D53" s="40"/>
      <c r="E53" s="41"/>
      <c r="F53" s="42"/>
      <c r="H53" s="117"/>
    </row>
    <row r="54" spans="1:8" x14ac:dyDescent="0.2">
      <c r="A54" s="116"/>
      <c r="B54" s="43" t="s">
        <v>42</v>
      </c>
      <c r="C54" s="44">
        <f>SUM('F&amp;B Broke Down'!C3)</f>
        <v>15</v>
      </c>
      <c r="D54" s="23">
        <f>SUM('F&amp;B Broke Down'!B3)</f>
        <v>0</v>
      </c>
      <c r="E54" s="23">
        <f>_xlfn.SINGLE(SUM('F&amp;B Broke Down'!I3))</f>
        <v>300</v>
      </c>
      <c r="F54" s="24"/>
    </row>
    <row r="55" spans="1:8" x14ac:dyDescent="0.2">
      <c r="A55" s="116"/>
      <c r="B55" s="38" t="s">
        <v>53</v>
      </c>
      <c r="C55" s="39"/>
      <c r="D55" s="40"/>
      <c r="E55" s="41"/>
      <c r="F55" s="42"/>
    </row>
    <row r="56" spans="1:8" x14ac:dyDescent="0.2">
      <c r="A56" s="116"/>
      <c r="B56" s="43" t="s">
        <v>54</v>
      </c>
      <c r="C56" s="22"/>
      <c r="D56" s="45"/>
      <c r="E56" s="45">
        <f>SUM(C56*D56)</f>
        <v>0</v>
      </c>
      <c r="F56" s="24"/>
      <c r="G56" s="171"/>
    </row>
    <row r="57" spans="1:8" x14ac:dyDescent="0.2">
      <c r="A57" s="116"/>
      <c r="B57" s="38" t="s">
        <v>49</v>
      </c>
      <c r="C57" s="39"/>
      <c r="D57" s="40"/>
      <c r="E57" s="41"/>
      <c r="F57" s="42"/>
    </row>
    <row r="58" spans="1:8" x14ac:dyDescent="0.2">
      <c r="A58" s="116"/>
      <c r="B58" s="43" t="s">
        <v>13</v>
      </c>
      <c r="C58" s="22">
        <v>3</v>
      </c>
      <c r="D58" s="45">
        <v>100</v>
      </c>
      <c r="E58" s="45">
        <f>_xlfn.SINGLE(SUM('F&amp;B Broke Down'!I5))</f>
        <v>198</v>
      </c>
      <c r="F58" s="24"/>
      <c r="G58" s="171"/>
    </row>
    <row r="59" spans="1:8" x14ac:dyDescent="0.2">
      <c r="A59" s="116"/>
      <c r="B59" s="43" t="s">
        <v>14</v>
      </c>
      <c r="C59" s="22">
        <f>SUM('F&amp;B Broke Down'!C4)</f>
        <v>700</v>
      </c>
      <c r="D59" s="45">
        <f>SUM('F&amp;B Broke Down'!B4)</f>
        <v>0</v>
      </c>
      <c r="E59" s="45">
        <f>_xlfn.SINGLE(SUM('F&amp;B Broke Down'!I4))</f>
        <v>13186.8</v>
      </c>
      <c r="F59" s="24"/>
      <c r="G59" s="171"/>
    </row>
    <row r="60" spans="1:8" x14ac:dyDescent="0.2">
      <c r="A60" s="116"/>
      <c r="B60" s="38" t="s">
        <v>24</v>
      </c>
      <c r="C60" s="39"/>
      <c r="D60" s="40"/>
      <c r="E60" s="41"/>
      <c r="F60" s="42"/>
    </row>
    <row r="61" spans="1:8" x14ac:dyDescent="0.2">
      <c r="A61" s="116"/>
      <c r="B61" s="4" t="s">
        <v>109</v>
      </c>
      <c r="C61" s="22">
        <v>0</v>
      </c>
      <c r="D61" s="45">
        <v>0</v>
      </c>
      <c r="E61" s="45">
        <v>0</v>
      </c>
      <c r="F61" s="24"/>
      <c r="G61" s="171"/>
    </row>
    <row r="62" spans="1:8" x14ac:dyDescent="0.2">
      <c r="A62" s="116"/>
      <c r="B62" s="4" t="s">
        <v>50</v>
      </c>
      <c r="C62" s="22">
        <f>_xlfn.SINGLE(SUM('F&amp;B Broke Down'!C7))</f>
        <v>400</v>
      </c>
      <c r="D62" s="45">
        <v>30</v>
      </c>
      <c r="E62" s="45">
        <f>_xlfn.SINGLE(SUM('F&amp;B Broke Down'!I6))</f>
        <v>15246</v>
      </c>
      <c r="F62" s="24"/>
      <c r="G62" s="171"/>
    </row>
    <row r="63" spans="1:8" x14ac:dyDescent="0.2">
      <c r="A63" s="116"/>
      <c r="B63" s="38" t="s">
        <v>80</v>
      </c>
      <c r="C63" s="39"/>
      <c r="D63" s="40"/>
      <c r="E63" s="41"/>
      <c r="F63" s="42"/>
    </row>
    <row r="64" spans="1:8" x14ac:dyDescent="0.2">
      <c r="A64" s="116"/>
      <c r="B64" s="4" t="s">
        <v>81</v>
      </c>
      <c r="C64" s="22">
        <f>_xlfn.SINGLE(SUM('F&amp;B Broke Down'!C7))</f>
        <v>400</v>
      </c>
      <c r="D64" s="45">
        <f>SUM('F&amp;B Broke Down'!B7)</f>
        <v>30</v>
      </c>
      <c r="E64" s="45">
        <f>_xlfn.SINGLE(SUM('F&amp;B Broke Down'!I7))</f>
        <v>15840</v>
      </c>
      <c r="F64" s="24"/>
      <c r="G64" s="171"/>
    </row>
    <row r="65" spans="1:10" x14ac:dyDescent="0.2">
      <c r="A65" s="116"/>
      <c r="B65" s="38" t="s">
        <v>98</v>
      </c>
      <c r="C65" s="39"/>
      <c r="D65" s="40"/>
      <c r="E65" s="41"/>
      <c r="F65" s="42"/>
    </row>
    <row r="66" spans="1:10" x14ac:dyDescent="0.2">
      <c r="A66" s="116"/>
      <c r="B66" s="4" t="s">
        <v>110</v>
      </c>
      <c r="C66" s="22">
        <f>_xlfn.SINGLE(SUM('F&amp;B Broke Down'!C8))</f>
        <v>400</v>
      </c>
      <c r="D66" s="45">
        <v>37</v>
      </c>
      <c r="E66" s="45">
        <f>_xlfn.SINGLE(SUM('F&amp;B Broke Down'!I8))</f>
        <v>15840</v>
      </c>
      <c r="F66" s="24"/>
      <c r="G66" s="171"/>
    </row>
    <row r="67" spans="1:10" x14ac:dyDescent="0.2">
      <c r="A67" s="116"/>
      <c r="B67" s="38" t="s">
        <v>43</v>
      </c>
      <c r="C67" s="39"/>
      <c r="D67" s="40"/>
      <c r="E67" s="41"/>
      <c r="F67" s="42"/>
    </row>
    <row r="68" spans="1:10" ht="34" x14ac:dyDescent="0.2">
      <c r="A68" s="116"/>
      <c r="B68" s="4" t="s">
        <v>44</v>
      </c>
      <c r="C68" s="22">
        <v>450</v>
      </c>
      <c r="D68" s="45">
        <v>44</v>
      </c>
      <c r="E68" s="45">
        <f>SUM('F&amp;B Broke Down'!I9)</f>
        <v>29040</v>
      </c>
      <c r="F68" s="24"/>
      <c r="G68" s="171" t="s">
        <v>339</v>
      </c>
    </row>
    <row r="69" spans="1:10" x14ac:dyDescent="0.2">
      <c r="A69" s="116"/>
      <c r="B69" s="38" t="s">
        <v>55</v>
      </c>
      <c r="C69" s="39"/>
      <c r="D69" s="40"/>
      <c r="E69" s="41"/>
      <c r="F69" s="42"/>
    </row>
    <row r="70" spans="1:10" x14ac:dyDescent="0.2">
      <c r="A70" s="116"/>
      <c r="B70" s="4" t="s">
        <v>26</v>
      </c>
      <c r="C70" s="22">
        <f>SUM('F&amp;B Broke Down'!C10)</f>
        <v>55</v>
      </c>
      <c r="D70" s="45">
        <f>SUM('F&amp;B Broke Down'!B10)</f>
        <v>42</v>
      </c>
      <c r="E70" s="45">
        <f>SUM('F&amp;B Broke Down'!I10)</f>
        <v>3049.2</v>
      </c>
      <c r="F70" s="24"/>
      <c r="G70" s="171"/>
    </row>
    <row r="71" spans="1:10" x14ac:dyDescent="0.2">
      <c r="A71" s="116">
        <v>5108</v>
      </c>
      <c r="B71" s="46" t="s">
        <v>63</v>
      </c>
      <c r="C71" s="51"/>
      <c r="D71" s="52"/>
      <c r="E71" s="49"/>
      <c r="F71" s="50">
        <f>SUM(E72:E73)</f>
        <v>4182.5</v>
      </c>
      <c r="G71" s="173"/>
    </row>
    <row r="72" spans="1:10" ht="17" x14ac:dyDescent="0.2">
      <c r="A72" s="116"/>
      <c r="B72" s="43" t="s">
        <v>17</v>
      </c>
      <c r="C72" s="44">
        <v>950</v>
      </c>
      <c r="D72" s="23">
        <v>4.1500000000000004</v>
      </c>
      <c r="E72" s="23">
        <f>_xlfn.SINGLE(SUM(D72*C72))</f>
        <v>3942.5000000000005</v>
      </c>
      <c r="F72" s="53"/>
      <c r="G72" s="174" t="s">
        <v>119</v>
      </c>
    </row>
    <row r="73" spans="1:10" x14ac:dyDescent="0.2">
      <c r="A73" s="116"/>
      <c r="B73" s="54" t="s">
        <v>22</v>
      </c>
      <c r="C73" s="44">
        <v>4</v>
      </c>
      <c r="D73" s="55">
        <v>60</v>
      </c>
      <c r="E73" s="55">
        <f>SUM(C73*D73)</f>
        <v>240</v>
      </c>
      <c r="F73" s="24"/>
      <c r="G73" s="173"/>
    </row>
    <row r="74" spans="1:10" x14ac:dyDescent="0.2">
      <c r="A74" s="116">
        <v>5109</v>
      </c>
      <c r="B74" s="46" t="s">
        <v>36</v>
      </c>
      <c r="C74" s="47"/>
      <c r="D74" s="48"/>
      <c r="E74" s="48"/>
      <c r="F74" s="50">
        <f>SUM(E75)</f>
        <v>400</v>
      </c>
      <c r="G74" s="172"/>
    </row>
    <row r="75" spans="1:10" x14ac:dyDescent="0.2">
      <c r="A75" s="116"/>
      <c r="B75" s="1" t="s">
        <v>82</v>
      </c>
      <c r="C75" s="44"/>
      <c r="D75" s="23"/>
      <c r="E75" s="45">
        <v>400</v>
      </c>
      <c r="F75" s="53"/>
      <c r="G75" s="172"/>
    </row>
    <row r="76" spans="1:10" x14ac:dyDescent="0.2">
      <c r="A76" s="116">
        <v>5110</v>
      </c>
      <c r="B76" s="56" t="s">
        <v>64</v>
      </c>
      <c r="C76" s="57"/>
      <c r="D76" s="58"/>
      <c r="E76" s="58"/>
      <c r="F76" s="59">
        <f>SUM(E77:E78)</f>
        <v>11300</v>
      </c>
      <c r="G76" s="171"/>
    </row>
    <row r="77" spans="1:10" x14ac:dyDescent="0.2">
      <c r="A77" s="116"/>
      <c r="B77" s="54" t="s">
        <v>92</v>
      </c>
      <c r="C77" s="44">
        <v>900</v>
      </c>
      <c r="D77" s="55">
        <v>7</v>
      </c>
      <c r="E77" s="55">
        <v>6300</v>
      </c>
      <c r="F77" s="24"/>
      <c r="G77" s="171"/>
    </row>
    <row r="78" spans="1:10" x14ac:dyDescent="0.2">
      <c r="A78" s="116"/>
      <c r="B78" s="54" t="s">
        <v>91</v>
      </c>
      <c r="C78" s="44"/>
      <c r="D78" s="55"/>
      <c r="E78" s="55">
        <v>5000</v>
      </c>
      <c r="F78" s="24"/>
      <c r="G78" s="171"/>
      <c r="J78">
        <f>_xlfn.SINGLE(SUM(E77/900))</f>
        <v>7</v>
      </c>
    </row>
    <row r="79" spans="1:10" x14ac:dyDescent="0.2">
      <c r="A79" s="116">
        <v>5111</v>
      </c>
      <c r="B79" s="46" t="s">
        <v>65</v>
      </c>
      <c r="C79" s="47"/>
      <c r="D79" s="48"/>
      <c r="E79" s="48"/>
      <c r="F79" s="50">
        <f>SUM(E80)</f>
        <v>2000</v>
      </c>
      <c r="G79" s="172"/>
    </row>
    <row r="80" spans="1:10" x14ac:dyDescent="0.2">
      <c r="A80" s="116"/>
      <c r="B80" s="1" t="s">
        <v>18</v>
      </c>
      <c r="C80" s="44"/>
      <c r="D80" s="23"/>
      <c r="E80" s="23">
        <v>2000</v>
      </c>
      <c r="F80" s="53"/>
      <c r="G80" s="172"/>
    </row>
    <row r="81" spans="1:7" x14ac:dyDescent="0.2">
      <c r="A81" s="116">
        <v>5119</v>
      </c>
      <c r="B81" s="46" t="s">
        <v>66</v>
      </c>
      <c r="C81" s="101"/>
      <c r="D81" s="102"/>
      <c r="E81" s="102"/>
      <c r="F81" s="103">
        <f>SUM(E82:E84)</f>
        <v>4192.96</v>
      </c>
    </row>
    <row r="82" spans="1:7" ht="17" x14ac:dyDescent="0.2">
      <c r="A82" s="116"/>
      <c r="B82" s="4" t="s">
        <v>76</v>
      </c>
      <c r="C82" s="22">
        <v>2</v>
      </c>
      <c r="D82" s="60">
        <v>303.92</v>
      </c>
      <c r="E82" s="60">
        <f>SUM(C82*D82)</f>
        <v>607.84</v>
      </c>
      <c r="F82" s="61"/>
      <c r="G82" s="173" t="s">
        <v>121</v>
      </c>
    </row>
    <row r="83" spans="1:7" ht="17" x14ac:dyDescent="0.2">
      <c r="A83" s="116"/>
      <c r="B83" s="4" t="s">
        <v>19</v>
      </c>
      <c r="C83" s="22">
        <v>4</v>
      </c>
      <c r="D83" s="60">
        <v>652.28</v>
      </c>
      <c r="E83" s="60">
        <f>SUM(C83*D83)</f>
        <v>2609.12</v>
      </c>
      <c r="F83" s="61"/>
      <c r="G83" s="167" t="s">
        <v>120</v>
      </c>
    </row>
    <row r="84" spans="1:7" ht="17" thickBot="1" x14ac:dyDescent="0.25">
      <c r="A84" s="116"/>
      <c r="B84" s="62" t="s">
        <v>15</v>
      </c>
      <c r="C84" s="63">
        <v>4</v>
      </c>
      <c r="D84" s="64">
        <v>244</v>
      </c>
      <c r="E84" s="64">
        <f>SUM(C84*D84)</f>
        <v>976</v>
      </c>
      <c r="F84" s="65"/>
    </row>
    <row r="85" spans="1:7" x14ac:dyDescent="0.2">
      <c r="A85" s="116">
        <v>5113</v>
      </c>
      <c r="B85" s="56" t="s">
        <v>67</v>
      </c>
      <c r="C85" s="57"/>
      <c r="D85" s="58"/>
      <c r="E85" s="58"/>
      <c r="F85" s="59">
        <f>SUM(E86:E88)</f>
        <v>11846.96</v>
      </c>
      <c r="G85" s="171"/>
    </row>
    <row r="86" spans="1:7" ht="17" x14ac:dyDescent="0.2">
      <c r="A86" s="116">
        <v>5112</v>
      </c>
      <c r="B86" s="97" t="s">
        <v>70</v>
      </c>
      <c r="C86" s="98"/>
      <c r="E86" s="99">
        <v>10000</v>
      </c>
      <c r="F86" s="100"/>
      <c r="G86" s="171" t="s">
        <v>77</v>
      </c>
    </row>
    <row r="87" spans="1:7" x14ac:dyDescent="0.2">
      <c r="A87" s="116">
        <v>5114</v>
      </c>
      <c r="B87" s="54" t="s">
        <v>69</v>
      </c>
      <c r="C87" s="44"/>
      <c r="D87" s="55"/>
      <c r="E87" s="55">
        <v>0</v>
      </c>
      <c r="F87" s="24"/>
      <c r="G87" s="171"/>
    </row>
    <row r="88" spans="1:7" ht="17" x14ac:dyDescent="0.2">
      <c r="A88" s="116">
        <v>5115</v>
      </c>
      <c r="B88" s="54" t="s">
        <v>68</v>
      </c>
      <c r="C88" s="44">
        <v>8</v>
      </c>
      <c r="D88" s="55">
        <v>230.87</v>
      </c>
      <c r="E88" s="55">
        <f>SUM(C88*D88)</f>
        <v>1846.96</v>
      </c>
      <c r="F88" s="24"/>
      <c r="G88" s="171" t="s">
        <v>122</v>
      </c>
    </row>
    <row r="89" spans="1:7" x14ac:dyDescent="0.2">
      <c r="A89" s="116">
        <v>5117</v>
      </c>
      <c r="B89" s="56" t="s">
        <v>71</v>
      </c>
      <c r="C89" s="47"/>
      <c r="D89" s="58"/>
      <c r="E89" s="58"/>
      <c r="F89" s="50">
        <f>SUM(E90)</f>
        <v>5000</v>
      </c>
      <c r="G89" s="171"/>
    </row>
    <row r="90" spans="1:7" x14ac:dyDescent="0.2">
      <c r="A90" s="116"/>
      <c r="B90" s="91" t="s">
        <v>25</v>
      </c>
      <c r="C90" s="22"/>
      <c r="D90" s="60"/>
      <c r="E90" s="92">
        <v>5000</v>
      </c>
      <c r="F90" s="61"/>
      <c r="G90" s="171"/>
    </row>
    <row r="91" spans="1:7" x14ac:dyDescent="0.2">
      <c r="A91" s="116">
        <v>5118</v>
      </c>
      <c r="B91" s="46" t="s">
        <v>72</v>
      </c>
      <c r="C91" s="47"/>
      <c r="D91" s="48"/>
      <c r="E91" s="49"/>
      <c r="F91" s="50">
        <f>SUM(E92:E92)</f>
        <v>6000</v>
      </c>
      <c r="G91" s="171"/>
    </row>
    <row r="92" spans="1:7" x14ac:dyDescent="0.2">
      <c r="A92" s="116"/>
      <c r="B92" s="93" t="s">
        <v>51</v>
      </c>
      <c r="C92" s="94"/>
      <c r="D92" s="95"/>
      <c r="E92" s="95">
        <v>6000</v>
      </c>
      <c r="F92" s="96"/>
      <c r="G92" s="171"/>
    </row>
    <row r="93" spans="1:7" x14ac:dyDescent="0.2">
      <c r="A93" s="116">
        <v>5120</v>
      </c>
      <c r="B93" s="46" t="s">
        <v>327</v>
      </c>
      <c r="C93" s="47"/>
      <c r="D93" s="48"/>
      <c r="E93" s="48"/>
      <c r="F93" s="50">
        <f>SUM(E94:E98)</f>
        <v>2792.61</v>
      </c>
      <c r="G93" s="172"/>
    </row>
    <row r="94" spans="1:7" x14ac:dyDescent="0.2">
      <c r="A94" s="116">
        <v>5107</v>
      </c>
      <c r="B94" s="1" t="s">
        <v>74</v>
      </c>
      <c r="C94" s="44"/>
      <c r="D94" s="23"/>
      <c r="E94" s="23">
        <v>100</v>
      </c>
      <c r="F94" s="53"/>
      <c r="G94" s="172"/>
    </row>
    <row r="95" spans="1:7" x14ac:dyDescent="0.2">
      <c r="A95" s="116">
        <v>5121</v>
      </c>
      <c r="B95" s="43" t="s">
        <v>73</v>
      </c>
      <c r="C95" s="44"/>
      <c r="D95" s="23"/>
      <c r="E95" s="23">
        <v>1000</v>
      </c>
      <c r="F95" s="24"/>
      <c r="G95" s="145"/>
    </row>
    <row r="96" spans="1:7" x14ac:dyDescent="0.2">
      <c r="A96" s="116">
        <v>5122</v>
      </c>
      <c r="B96" s="1" t="s">
        <v>45</v>
      </c>
      <c r="C96" s="44"/>
      <c r="D96" s="23"/>
      <c r="E96" s="23">
        <v>0</v>
      </c>
      <c r="F96" s="53"/>
    </row>
    <row r="97" spans="1:9" x14ac:dyDescent="0.2">
      <c r="A97" s="116"/>
      <c r="B97" s="1" t="s">
        <v>78</v>
      </c>
      <c r="C97" s="44"/>
      <c r="D97" s="23"/>
      <c r="E97" s="23">
        <v>1000</v>
      </c>
      <c r="F97" s="53"/>
      <c r="G97" s="145"/>
    </row>
    <row r="98" spans="1:9" ht="17" x14ac:dyDescent="0.2">
      <c r="A98" s="116"/>
      <c r="B98" s="1" t="s">
        <v>79</v>
      </c>
      <c r="C98" s="44">
        <v>1</v>
      </c>
      <c r="D98" s="23">
        <f>SUM(230.87*3)</f>
        <v>692.61</v>
      </c>
      <c r="E98" s="23">
        <f>SUM(C98*D98)</f>
        <v>692.61</v>
      </c>
      <c r="F98" s="53"/>
      <c r="G98" s="145" t="s">
        <v>123</v>
      </c>
    </row>
    <row r="99" spans="1:9" x14ac:dyDescent="0.2">
      <c r="A99" s="116">
        <v>5125</v>
      </c>
      <c r="B99" s="56" t="s">
        <v>75</v>
      </c>
      <c r="C99" s="47"/>
      <c r="D99" s="58"/>
      <c r="E99" s="58"/>
      <c r="F99" s="50">
        <f>SUM(E100)</f>
        <v>1500</v>
      </c>
      <c r="G99" s="171"/>
    </row>
    <row r="100" spans="1:9" x14ac:dyDescent="0.2">
      <c r="A100" s="116"/>
      <c r="B100" s="91" t="s">
        <v>46</v>
      </c>
      <c r="C100" s="22"/>
      <c r="D100" s="60"/>
      <c r="E100" s="92">
        <v>1500</v>
      </c>
      <c r="F100" s="61"/>
      <c r="G100" s="171"/>
    </row>
    <row r="101" spans="1:9" x14ac:dyDescent="0.2">
      <c r="A101" s="116">
        <v>5130</v>
      </c>
      <c r="B101" s="56" t="s">
        <v>47</v>
      </c>
      <c r="C101" s="47"/>
      <c r="D101" s="58"/>
      <c r="E101" s="58"/>
      <c r="F101" s="50">
        <f>SUM(E102)</f>
        <v>4300</v>
      </c>
      <c r="G101" s="171"/>
    </row>
    <row r="102" spans="1:9" x14ac:dyDescent="0.2">
      <c r="A102" s="116"/>
      <c r="B102" s="91" t="s">
        <v>48</v>
      </c>
      <c r="C102" s="22"/>
      <c r="D102" s="60"/>
      <c r="E102" s="92">
        <v>4300</v>
      </c>
      <c r="F102" s="61"/>
      <c r="G102" s="171"/>
    </row>
    <row r="103" spans="1:9" x14ac:dyDescent="0.2">
      <c r="A103" s="116">
        <v>5135</v>
      </c>
      <c r="B103" s="56" t="s">
        <v>99</v>
      </c>
      <c r="C103" s="47"/>
      <c r="D103" s="58"/>
      <c r="E103" s="58"/>
      <c r="F103" s="50">
        <f>SUM(E104)</f>
        <v>3850</v>
      </c>
      <c r="G103" s="171"/>
    </row>
    <row r="104" spans="1:9" ht="17" thickBot="1" x14ac:dyDescent="0.25">
      <c r="A104" s="116"/>
      <c r="B104" s="91" t="s">
        <v>48</v>
      </c>
      <c r="C104" s="22"/>
      <c r="D104" s="60"/>
      <c r="E104" s="92">
        <v>3850</v>
      </c>
      <c r="F104" s="61"/>
      <c r="G104" s="171"/>
    </row>
    <row r="105" spans="1:9" x14ac:dyDescent="0.2">
      <c r="A105" s="116"/>
      <c r="B105" s="66" t="s">
        <v>20</v>
      </c>
      <c r="C105" s="67"/>
      <c r="D105" s="68"/>
      <c r="E105" s="68"/>
      <c r="F105" s="69">
        <f>SUM(F41:F104)</f>
        <v>186475.02999999997</v>
      </c>
    </row>
    <row r="106" spans="1:9" x14ac:dyDescent="0.2">
      <c r="A106" s="116"/>
      <c r="B106" s="70" t="s">
        <v>9</v>
      </c>
      <c r="C106" s="71"/>
      <c r="D106" s="72"/>
      <c r="E106" s="72"/>
      <c r="F106" s="73">
        <f>SUM(F38)</f>
        <v>245199</v>
      </c>
    </row>
    <row r="107" spans="1:9" ht="17" thickBot="1" x14ac:dyDescent="0.25">
      <c r="A107" s="116"/>
      <c r="B107" s="74" t="s">
        <v>21</v>
      </c>
      <c r="C107" s="75"/>
      <c r="D107" s="72"/>
      <c r="E107" s="72"/>
      <c r="F107" s="73">
        <f>F106-F105</f>
        <v>58723.97000000003</v>
      </c>
      <c r="G107" s="168"/>
    </row>
    <row r="108" spans="1:9" ht="17" thickBot="1" x14ac:dyDescent="0.25">
      <c r="A108" s="116"/>
      <c r="B108" s="76" t="s">
        <v>23</v>
      </c>
      <c r="C108" s="77"/>
      <c r="D108" s="78"/>
      <c r="E108" s="78"/>
      <c r="F108" s="79"/>
    </row>
    <row r="109" spans="1:9" x14ac:dyDescent="0.2">
      <c r="A109" s="116"/>
    </row>
    <row r="110" spans="1:9" x14ac:dyDescent="0.2">
      <c r="A110" s="116"/>
      <c r="D110" s="80"/>
      <c r="E110" s="80"/>
      <c r="F110" s="80"/>
    </row>
    <row r="111" spans="1:9" s="146" customFormat="1" x14ac:dyDescent="0.2">
      <c r="B111" s="147"/>
      <c r="C111" s="148"/>
      <c r="D111" s="148"/>
      <c r="E111" s="149"/>
      <c r="F111" s="150"/>
      <c r="G111" s="175"/>
      <c r="H111" s="80"/>
      <c r="I111" s="151"/>
    </row>
    <row r="112" spans="1:9" ht="19" x14ac:dyDescent="0.35">
      <c r="B112" s="142"/>
      <c r="C112" s="152" t="s">
        <v>103</v>
      </c>
      <c r="D112"/>
      <c r="E112"/>
      <c r="F112"/>
      <c r="G112" s="176"/>
    </row>
    <row r="113" spans="1:7" ht="17" thickBot="1" x14ac:dyDescent="0.25">
      <c r="B113" s="142"/>
      <c r="C113" s="117"/>
      <c r="D113"/>
      <c r="E113"/>
      <c r="F113"/>
      <c r="G113" s="176"/>
    </row>
    <row r="114" spans="1:7" ht="17" thickBot="1" x14ac:dyDescent="0.25">
      <c r="B114" s="153" t="s">
        <v>104</v>
      </c>
      <c r="C114" s="154">
        <f>_xlfn.SINGLE(SUM(F107/F106))</f>
        <v>0.23949514475997061</v>
      </c>
      <c r="D114"/>
      <c r="E114"/>
      <c r="F114"/>
      <c r="G114" s="176"/>
    </row>
    <row r="115" spans="1:7" x14ac:dyDescent="0.2">
      <c r="B115" s="153" t="s">
        <v>105</v>
      </c>
      <c r="C115" s="155">
        <f>_xlfn.SINGLE(SUM(F105/193))</f>
        <v>966.19186528497391</v>
      </c>
      <c r="D115"/>
      <c r="E115"/>
      <c r="F115"/>
      <c r="G115" s="176"/>
    </row>
    <row r="116" spans="1:7" x14ac:dyDescent="0.2">
      <c r="B116" s="153" t="s">
        <v>106</v>
      </c>
      <c r="C116" s="156">
        <f>_xlfn.SINGLE(SUM(E51/D32))</f>
        <v>72</v>
      </c>
      <c r="D116"/>
      <c r="E116"/>
      <c r="F116"/>
      <c r="G116" s="176"/>
    </row>
    <row r="117" spans="1:7" x14ac:dyDescent="0.2">
      <c r="B117" s="153"/>
      <c r="C117"/>
      <c r="D117"/>
      <c r="E117"/>
      <c r="F117"/>
      <c r="G117" s="176"/>
    </row>
    <row r="118" spans="1:7" x14ac:dyDescent="0.2">
      <c r="B118"/>
      <c r="C118"/>
      <c r="D118"/>
      <c r="E118"/>
      <c r="F118"/>
      <c r="G118"/>
    </row>
    <row r="119" spans="1:7" x14ac:dyDescent="0.2">
      <c r="A119" s="116"/>
      <c r="B119"/>
      <c r="C119"/>
      <c r="D119"/>
      <c r="E119"/>
      <c r="F119"/>
      <c r="G119"/>
    </row>
    <row r="120" spans="1:7" x14ac:dyDescent="0.2">
      <c r="A120" s="157"/>
      <c r="B120"/>
      <c r="C120"/>
      <c r="D120"/>
      <c r="E120"/>
      <c r="F120"/>
      <c r="G120"/>
    </row>
    <row r="121" spans="1:7" x14ac:dyDescent="0.2">
      <c r="A121" s="157"/>
      <c r="B121"/>
      <c r="C121"/>
      <c r="D121"/>
      <c r="E121"/>
      <c r="F121"/>
      <c r="G121"/>
    </row>
    <row r="122" spans="1:7" x14ac:dyDescent="0.2">
      <c r="B122"/>
      <c r="C122"/>
      <c r="D122"/>
      <c r="E122"/>
      <c r="F122"/>
      <c r="G122"/>
    </row>
    <row r="123" spans="1:7" x14ac:dyDescent="0.2">
      <c r="B123"/>
      <c r="C123"/>
      <c r="D123"/>
      <c r="E123"/>
      <c r="F123"/>
      <c r="G123"/>
    </row>
    <row r="124" spans="1:7" x14ac:dyDescent="0.2">
      <c r="B124"/>
      <c r="C124"/>
      <c r="D124"/>
      <c r="E124"/>
      <c r="F124"/>
      <c r="G124"/>
    </row>
    <row r="125" spans="1:7" x14ac:dyDescent="0.2">
      <c r="B125"/>
      <c r="C125"/>
      <c r="D125"/>
      <c r="E125"/>
      <c r="F125"/>
      <c r="G125"/>
    </row>
    <row r="126" spans="1:7" x14ac:dyDescent="0.2">
      <c r="B126"/>
      <c r="C126"/>
      <c r="D126"/>
      <c r="E126"/>
      <c r="F126"/>
      <c r="G126"/>
    </row>
    <row r="127" spans="1:7" x14ac:dyDescent="0.2">
      <c r="B127"/>
      <c r="C127"/>
      <c r="D127"/>
      <c r="E127"/>
      <c r="F127"/>
      <c r="G127"/>
    </row>
    <row r="128" spans="1:7" x14ac:dyDescent="0.2">
      <c r="B128"/>
      <c r="C128"/>
      <c r="D128"/>
      <c r="E128"/>
      <c r="F128"/>
      <c r="G128"/>
    </row>
    <row r="129" spans="2:7" x14ac:dyDescent="0.2">
      <c r="B129"/>
      <c r="C129"/>
      <c r="D129"/>
      <c r="E129"/>
      <c r="F129"/>
      <c r="G129"/>
    </row>
    <row r="130" spans="2:7" x14ac:dyDescent="0.2">
      <c r="B130"/>
      <c r="C130"/>
      <c r="D130"/>
      <c r="E130"/>
      <c r="F130"/>
      <c r="G130"/>
    </row>
    <row r="131" spans="2:7" x14ac:dyDescent="0.2">
      <c r="B131"/>
      <c r="C131"/>
      <c r="D131"/>
      <c r="E131"/>
      <c r="F131"/>
      <c r="G131"/>
    </row>
    <row r="132" spans="2:7" x14ac:dyDescent="0.2">
      <c r="B132"/>
      <c r="C132"/>
      <c r="D132"/>
      <c r="E132"/>
      <c r="F132"/>
      <c r="G132"/>
    </row>
    <row r="133" spans="2:7" x14ac:dyDescent="0.2">
      <c r="B133"/>
      <c r="C133"/>
      <c r="D133"/>
      <c r="E133"/>
      <c r="F133"/>
      <c r="G133"/>
    </row>
    <row r="134" spans="2:7" x14ac:dyDescent="0.2">
      <c r="B134"/>
      <c r="C134"/>
      <c r="D134"/>
      <c r="E134"/>
      <c r="F134"/>
      <c r="G134"/>
    </row>
    <row r="135" spans="2:7" x14ac:dyDescent="0.2">
      <c r="B135"/>
      <c r="C135"/>
      <c r="D135"/>
      <c r="E135"/>
      <c r="F135"/>
      <c r="G135"/>
    </row>
    <row r="136" spans="2:7" x14ac:dyDescent="0.2">
      <c r="B136"/>
      <c r="C136"/>
      <c r="D136"/>
      <c r="E136"/>
      <c r="F136"/>
      <c r="G136"/>
    </row>
    <row r="137" spans="2:7" x14ac:dyDescent="0.2">
      <c r="B137"/>
      <c r="C137"/>
      <c r="D137"/>
      <c r="E137"/>
      <c r="F137"/>
      <c r="G137"/>
    </row>
    <row r="138" spans="2:7" x14ac:dyDescent="0.2">
      <c r="B138"/>
      <c r="C138"/>
      <c r="D138"/>
      <c r="E138"/>
      <c r="F138"/>
      <c r="G138"/>
    </row>
    <row r="139" spans="2:7" x14ac:dyDescent="0.2">
      <c r="B139"/>
      <c r="C139"/>
      <c r="D139"/>
      <c r="E139"/>
      <c r="F139"/>
      <c r="G139"/>
    </row>
    <row r="140" spans="2:7" x14ac:dyDescent="0.2">
      <c r="B140"/>
      <c r="C140"/>
      <c r="D140"/>
      <c r="E140"/>
      <c r="F140"/>
      <c r="G140"/>
    </row>
    <row r="141" spans="2:7" x14ac:dyDescent="0.2">
      <c r="B141"/>
      <c r="C141"/>
      <c r="D141"/>
      <c r="E141"/>
      <c r="F141"/>
      <c r="G141"/>
    </row>
    <row r="142" spans="2:7" x14ac:dyDescent="0.2">
      <c r="B142"/>
      <c r="C142"/>
      <c r="D142"/>
      <c r="E142"/>
      <c r="F142"/>
      <c r="G142"/>
    </row>
    <row r="143" spans="2:7" x14ac:dyDescent="0.2">
      <c r="B143"/>
      <c r="C143"/>
      <c r="D143"/>
      <c r="E143"/>
      <c r="F143"/>
      <c r="G143"/>
    </row>
    <row r="144" spans="2:7" x14ac:dyDescent="0.2">
      <c r="B144"/>
      <c r="C144"/>
      <c r="D144"/>
      <c r="E144"/>
      <c r="F144"/>
      <c r="G144"/>
    </row>
    <row r="145" spans="2:9" x14ac:dyDescent="0.2">
      <c r="B145"/>
      <c r="C145"/>
      <c r="D145"/>
      <c r="E145"/>
      <c r="F145"/>
      <c r="G145"/>
    </row>
    <row r="146" spans="2:9" s="146" customFormat="1" x14ac:dyDescent="0.2"/>
    <row r="147" spans="2:9" s="146" customFormat="1" x14ac:dyDescent="0.2">
      <c r="B147" s="147"/>
      <c r="C147" s="148"/>
      <c r="D147" s="148"/>
      <c r="E147" s="158"/>
      <c r="F147" s="159"/>
      <c r="G147" s="177"/>
      <c r="H147" s="160"/>
      <c r="I147" s="151"/>
    </row>
    <row r="148" spans="2:9" s="146" customFormat="1" x14ac:dyDescent="0.2">
      <c r="B148" s="147"/>
      <c r="C148" s="148"/>
      <c r="D148" s="148"/>
      <c r="E148" s="158"/>
      <c r="F148" s="159"/>
      <c r="G148" s="177"/>
      <c r="H148" s="160"/>
      <c r="I148" s="151"/>
    </row>
    <row r="149" spans="2:9" s="146" customFormat="1" x14ac:dyDescent="0.2">
      <c r="B149" s="147"/>
      <c r="C149" s="148"/>
      <c r="D149" s="148"/>
      <c r="E149" s="158"/>
      <c r="F149" s="159"/>
      <c r="G149" s="177"/>
      <c r="H149" s="160"/>
      <c r="I149" s="151"/>
    </row>
    <row r="150" spans="2:9" s="146" customFormat="1" x14ac:dyDescent="0.2">
      <c r="B150" s="147"/>
      <c r="C150" s="148"/>
      <c r="D150" s="148"/>
      <c r="E150" s="158"/>
      <c r="F150" s="159"/>
      <c r="G150" s="177"/>
      <c r="H150" s="160"/>
      <c r="I150" s="151"/>
    </row>
    <row r="151" spans="2:9" s="146" customFormat="1" x14ac:dyDescent="0.2">
      <c r="B151" s="147"/>
      <c r="C151" s="148"/>
      <c r="D151" s="148"/>
      <c r="E151" s="158"/>
      <c r="F151" s="159"/>
      <c r="G151" s="177"/>
      <c r="H151" s="160"/>
      <c r="I151" s="151"/>
    </row>
    <row r="152" spans="2:9" s="146" customFormat="1" x14ac:dyDescent="0.2">
      <c r="B152" s="147"/>
      <c r="C152" s="148"/>
      <c r="D152" s="148"/>
      <c r="E152" s="158"/>
      <c r="F152" s="159"/>
      <c r="G152" s="177"/>
      <c r="H152" s="160"/>
      <c r="I152" s="151"/>
    </row>
    <row r="153" spans="2:9" s="146" customFormat="1" x14ac:dyDescent="0.2">
      <c r="B153" s="147"/>
      <c r="C153" s="148"/>
      <c r="D153" s="148"/>
      <c r="E153" s="158"/>
      <c r="F153" s="159"/>
      <c r="G153" s="177"/>
      <c r="H153" s="160"/>
      <c r="I153" s="151"/>
    </row>
    <row r="154" spans="2:9" s="146" customFormat="1" x14ac:dyDescent="0.2">
      <c r="B154" s="147"/>
      <c r="C154" s="148"/>
      <c r="D154" s="148"/>
      <c r="E154" s="158"/>
      <c r="F154" s="159"/>
      <c r="G154" s="177"/>
      <c r="H154" s="160"/>
      <c r="I154" s="151"/>
    </row>
    <row r="155" spans="2:9" s="146" customFormat="1" x14ac:dyDescent="0.2">
      <c r="B155" s="147"/>
      <c r="C155" s="148"/>
      <c r="D155" s="148"/>
      <c r="E155" s="158"/>
      <c r="F155" s="159"/>
      <c r="G155" s="177"/>
      <c r="H155" s="160"/>
      <c r="I155" s="151"/>
    </row>
    <row r="156" spans="2:9" s="146" customFormat="1" x14ac:dyDescent="0.2">
      <c r="B156" s="147"/>
      <c r="C156" s="148"/>
      <c r="D156" s="148"/>
      <c r="E156" s="158"/>
      <c r="F156" s="159"/>
      <c r="G156" s="177"/>
      <c r="H156" s="160"/>
      <c r="I156" s="151"/>
    </row>
    <row r="157" spans="2:9" s="146" customFormat="1" x14ac:dyDescent="0.2">
      <c r="B157" s="147"/>
      <c r="C157" s="148"/>
      <c r="D157" s="148"/>
      <c r="E157" s="158"/>
      <c r="F157" s="159"/>
      <c r="G157" s="177"/>
      <c r="H157" s="160"/>
      <c r="I157" s="151"/>
    </row>
    <row r="158" spans="2:9" s="146" customFormat="1" x14ac:dyDescent="0.2">
      <c r="B158" s="147"/>
      <c r="C158" s="148"/>
      <c r="D158" s="148"/>
      <c r="E158" s="158"/>
      <c r="F158" s="159"/>
      <c r="G158" s="177"/>
      <c r="H158" s="160"/>
      <c r="I158" s="151"/>
    </row>
    <row r="159" spans="2:9" s="146" customFormat="1" x14ac:dyDescent="0.2">
      <c r="B159" s="147"/>
      <c r="C159" s="148"/>
      <c r="D159" s="148"/>
      <c r="E159" s="158"/>
      <c r="F159" s="159"/>
      <c r="G159" s="177"/>
      <c r="H159" s="160"/>
      <c r="I159" s="151"/>
    </row>
    <row r="160" spans="2:9" s="146" customFormat="1" x14ac:dyDescent="0.2">
      <c r="B160" s="147"/>
      <c r="C160" s="148"/>
      <c r="D160" s="148"/>
      <c r="E160" s="158"/>
      <c r="F160" s="159"/>
      <c r="G160" s="177"/>
      <c r="H160" s="160"/>
      <c r="I160" s="151"/>
    </row>
    <row r="161" spans="2:9" s="146" customFormat="1" x14ac:dyDescent="0.2">
      <c r="B161" s="147"/>
      <c r="C161" s="148"/>
      <c r="D161" s="148"/>
      <c r="E161" s="158"/>
      <c r="F161" s="159"/>
      <c r="G161" s="177"/>
      <c r="H161" s="160"/>
      <c r="I161" s="151"/>
    </row>
    <row r="162" spans="2:9" s="146" customFormat="1" x14ac:dyDescent="0.2">
      <c r="B162" s="147"/>
      <c r="C162" s="148"/>
      <c r="D162" s="148"/>
      <c r="E162" s="158"/>
      <c r="F162" s="159"/>
      <c r="G162" s="177"/>
      <c r="H162" s="160"/>
      <c r="I162" s="151"/>
    </row>
    <row r="163" spans="2:9" s="146" customFormat="1" x14ac:dyDescent="0.2">
      <c r="B163" s="147"/>
      <c r="C163" s="148"/>
      <c r="D163" s="148"/>
      <c r="E163" s="158"/>
      <c r="F163" s="159"/>
      <c r="G163" s="177"/>
      <c r="H163" s="160"/>
      <c r="I163" s="151"/>
    </row>
    <row r="164" spans="2:9" s="146" customFormat="1" x14ac:dyDescent="0.2">
      <c r="B164" s="147"/>
      <c r="C164" s="148"/>
      <c r="D164" s="148"/>
      <c r="E164" s="158"/>
      <c r="F164" s="159"/>
      <c r="G164" s="177"/>
      <c r="H164" s="160"/>
      <c r="I164" s="151"/>
    </row>
    <row r="165" spans="2:9" s="146" customFormat="1" x14ac:dyDescent="0.2">
      <c r="B165" s="147"/>
      <c r="C165" s="148"/>
      <c r="D165" s="148"/>
      <c r="E165" s="158"/>
      <c r="F165" s="159"/>
      <c r="G165" s="177"/>
      <c r="H165" s="160"/>
      <c r="I165" s="151"/>
    </row>
    <row r="166" spans="2:9" s="146" customFormat="1" x14ac:dyDescent="0.2">
      <c r="B166" s="147"/>
      <c r="C166" s="148"/>
      <c r="D166" s="148"/>
      <c r="E166" s="158"/>
      <c r="F166" s="159"/>
      <c r="G166" s="177"/>
      <c r="H166" s="160"/>
      <c r="I166" s="151"/>
    </row>
    <row r="167" spans="2:9" s="146" customFormat="1" x14ac:dyDescent="0.2">
      <c r="B167" s="147"/>
      <c r="C167" s="148"/>
      <c r="D167" s="148"/>
      <c r="E167" s="158"/>
      <c r="F167" s="159"/>
      <c r="G167" s="177"/>
      <c r="H167" s="160"/>
      <c r="I167" s="151"/>
    </row>
    <row r="168" spans="2:9" s="146" customFormat="1" x14ac:dyDescent="0.2">
      <c r="B168" s="147"/>
      <c r="C168" s="148"/>
      <c r="D168" s="148"/>
      <c r="E168" s="158"/>
      <c r="F168" s="159"/>
      <c r="G168" s="177"/>
      <c r="H168" s="160"/>
      <c r="I168" s="151"/>
    </row>
    <row r="169" spans="2:9" s="146" customFormat="1" x14ac:dyDescent="0.2">
      <c r="B169" s="147"/>
      <c r="C169" s="148"/>
      <c r="D169" s="148"/>
      <c r="E169" s="158"/>
      <c r="F169" s="159"/>
      <c r="G169" s="177"/>
      <c r="H169" s="160"/>
      <c r="I169" s="151"/>
    </row>
    <row r="170" spans="2:9" s="146" customFormat="1" x14ac:dyDescent="0.2">
      <c r="B170" s="147"/>
      <c r="C170" s="148"/>
      <c r="D170" s="148"/>
      <c r="E170" s="158"/>
      <c r="F170" s="159"/>
      <c r="G170" s="177"/>
      <c r="H170" s="160"/>
      <c r="I170" s="151"/>
    </row>
    <row r="171" spans="2:9" s="146" customFormat="1" x14ac:dyDescent="0.2">
      <c r="B171" s="147"/>
      <c r="C171" s="148"/>
      <c r="D171" s="148"/>
      <c r="E171" s="158"/>
      <c r="F171" s="159"/>
      <c r="G171" s="177"/>
      <c r="H171" s="160"/>
      <c r="I171" s="151"/>
    </row>
    <row r="172" spans="2:9" s="146" customFormat="1" x14ac:dyDescent="0.2">
      <c r="B172" s="147"/>
      <c r="C172" s="148"/>
      <c r="D172" s="148"/>
      <c r="E172" s="158"/>
      <c r="F172" s="159"/>
      <c r="G172" s="177"/>
      <c r="H172" s="160"/>
      <c r="I172" s="151"/>
    </row>
    <row r="173" spans="2:9" s="146" customFormat="1" x14ac:dyDescent="0.2">
      <c r="B173" s="147"/>
      <c r="C173" s="148"/>
      <c r="D173" s="148"/>
      <c r="E173" s="158"/>
      <c r="F173" s="159"/>
      <c r="G173" s="177"/>
      <c r="H173" s="160"/>
      <c r="I173" s="151"/>
    </row>
    <row r="174" spans="2:9" s="146" customFormat="1" x14ac:dyDescent="0.2">
      <c r="B174" s="147"/>
      <c r="C174" s="148"/>
      <c r="D174" s="148"/>
      <c r="E174" s="158"/>
      <c r="F174" s="159"/>
      <c r="G174" s="177"/>
      <c r="H174" s="160"/>
      <c r="I174" s="151"/>
    </row>
    <row r="175" spans="2:9" s="146" customFormat="1" x14ac:dyDescent="0.2">
      <c r="B175" s="147"/>
      <c r="C175" s="148"/>
      <c r="D175" s="148"/>
      <c r="E175" s="158"/>
      <c r="F175" s="159"/>
      <c r="G175" s="177"/>
      <c r="H175" s="160"/>
      <c r="I175" s="151"/>
    </row>
    <row r="176" spans="2:9" s="146" customFormat="1" x14ac:dyDescent="0.2">
      <c r="B176" s="147"/>
      <c r="C176" s="148"/>
      <c r="D176" s="148"/>
      <c r="E176" s="158"/>
      <c r="F176" s="159"/>
      <c r="G176" s="177"/>
      <c r="H176" s="160"/>
      <c r="I176" s="151"/>
    </row>
    <row r="177" spans="2:9" s="146" customFormat="1" x14ac:dyDescent="0.2">
      <c r="B177" s="147"/>
      <c r="C177" s="148"/>
      <c r="D177" s="148"/>
      <c r="E177" s="158"/>
      <c r="F177" s="159"/>
      <c r="G177" s="177"/>
      <c r="H177" s="160"/>
      <c r="I177" s="151"/>
    </row>
    <row r="178" spans="2:9" s="146" customFormat="1" x14ac:dyDescent="0.2">
      <c r="B178" s="147"/>
      <c r="C178" s="148"/>
      <c r="D178" s="148"/>
      <c r="E178" s="158"/>
      <c r="F178" s="159"/>
      <c r="G178" s="177"/>
      <c r="H178" s="160"/>
      <c r="I178" s="151"/>
    </row>
    <row r="179" spans="2:9" s="146" customFormat="1" x14ac:dyDescent="0.2">
      <c r="B179" s="147"/>
      <c r="C179" s="148"/>
      <c r="D179" s="148"/>
      <c r="E179" s="158"/>
      <c r="F179" s="159"/>
      <c r="G179" s="177"/>
      <c r="H179" s="160"/>
      <c r="I179" s="151"/>
    </row>
    <row r="180" spans="2:9" s="146" customFormat="1" x14ac:dyDescent="0.2">
      <c r="B180" s="147"/>
      <c r="C180" s="148"/>
      <c r="D180" s="148"/>
      <c r="E180" s="158"/>
      <c r="F180" s="159"/>
      <c r="G180" s="177"/>
      <c r="H180" s="160"/>
      <c r="I180" s="151"/>
    </row>
    <row r="181" spans="2:9" s="146" customFormat="1" x14ac:dyDescent="0.2">
      <c r="B181" s="147"/>
      <c r="C181" s="148"/>
      <c r="D181" s="148"/>
      <c r="E181" s="158"/>
      <c r="F181" s="159"/>
      <c r="G181" s="177"/>
      <c r="H181" s="161"/>
      <c r="I181" s="151"/>
    </row>
    <row r="182" spans="2:9" s="146" customFormat="1" x14ac:dyDescent="0.2">
      <c r="B182" s="147"/>
      <c r="C182" s="148"/>
      <c r="D182" s="148"/>
      <c r="E182" s="158"/>
      <c r="F182" s="159"/>
      <c r="G182" s="177"/>
      <c r="H182" s="161"/>
      <c r="I182" s="151"/>
    </row>
    <row r="183" spans="2:9" s="146" customFormat="1" x14ac:dyDescent="0.2">
      <c r="B183" s="147"/>
      <c r="C183" s="148"/>
      <c r="D183" s="148"/>
      <c r="E183" s="158"/>
      <c r="F183" s="159"/>
      <c r="G183" s="177"/>
      <c r="H183" s="161"/>
      <c r="I183" s="151"/>
    </row>
    <row r="184" spans="2:9" s="146" customFormat="1" x14ac:dyDescent="0.2">
      <c r="B184" s="147"/>
      <c r="C184" s="148"/>
      <c r="D184" s="148"/>
      <c r="E184" s="158"/>
      <c r="F184" s="159"/>
      <c r="G184" s="177"/>
      <c r="H184" s="161"/>
      <c r="I184" s="151"/>
    </row>
    <row r="185" spans="2:9" s="146" customFormat="1" x14ac:dyDescent="0.2">
      <c r="B185" s="147"/>
      <c r="C185" s="148"/>
      <c r="D185" s="148"/>
      <c r="E185" s="158"/>
      <c r="F185" s="159"/>
      <c r="G185" s="177"/>
      <c r="H185" s="161"/>
      <c r="I185" s="151"/>
    </row>
    <row r="186" spans="2:9" s="146" customFormat="1" x14ac:dyDescent="0.2">
      <c r="B186" s="147"/>
      <c r="C186" s="148"/>
      <c r="D186" s="148"/>
      <c r="E186" s="158"/>
      <c r="F186" s="159"/>
      <c r="G186" s="177"/>
      <c r="H186" s="161"/>
      <c r="I186" s="151"/>
    </row>
    <row r="187" spans="2:9" s="146" customFormat="1" x14ac:dyDescent="0.2">
      <c r="B187" s="147"/>
      <c r="C187" s="148"/>
      <c r="D187" s="148"/>
      <c r="E187" s="158"/>
      <c r="F187" s="159"/>
      <c r="G187" s="177"/>
      <c r="H187" s="161"/>
      <c r="I187" s="151"/>
    </row>
    <row r="188" spans="2:9" s="146" customFormat="1" x14ac:dyDescent="0.2">
      <c r="B188" s="147"/>
      <c r="C188" s="148"/>
      <c r="D188" s="148"/>
      <c r="E188" s="158"/>
      <c r="F188" s="159"/>
      <c r="G188" s="177"/>
      <c r="H188" s="161"/>
      <c r="I188" s="151"/>
    </row>
    <row r="189" spans="2:9" s="146" customFormat="1" x14ac:dyDescent="0.2">
      <c r="B189" s="147"/>
      <c r="C189" s="148"/>
      <c r="D189" s="148"/>
      <c r="E189" s="158"/>
      <c r="F189" s="159"/>
      <c r="G189" s="177"/>
      <c r="H189" s="161"/>
      <c r="I189" s="151"/>
    </row>
    <row r="190" spans="2:9" s="146" customFormat="1" x14ac:dyDescent="0.2">
      <c r="B190" s="147"/>
      <c r="C190" s="148"/>
      <c r="D190" s="148"/>
      <c r="E190" s="158"/>
      <c r="F190" s="159"/>
      <c r="G190" s="177"/>
      <c r="H190" s="161"/>
      <c r="I190" s="151"/>
    </row>
    <row r="191" spans="2:9" s="146" customFormat="1" x14ac:dyDescent="0.2">
      <c r="B191" s="147"/>
      <c r="C191" s="148"/>
      <c r="D191" s="148"/>
      <c r="E191" s="158"/>
      <c r="F191" s="159"/>
      <c r="G191" s="177"/>
      <c r="H191" s="161"/>
      <c r="I191" s="151"/>
    </row>
    <row r="192" spans="2:9" s="146" customFormat="1" x14ac:dyDescent="0.2">
      <c r="B192" s="147"/>
      <c r="C192" s="148"/>
      <c r="D192" s="148"/>
      <c r="E192" s="158"/>
      <c r="F192" s="159"/>
      <c r="G192" s="177"/>
      <c r="H192" s="161"/>
      <c r="I192" s="151"/>
    </row>
    <row r="193" spans="2:9" s="146" customFormat="1" x14ac:dyDescent="0.2">
      <c r="B193" s="147"/>
      <c r="C193" s="148"/>
      <c r="D193" s="148"/>
      <c r="E193" s="158"/>
      <c r="F193" s="159"/>
      <c r="G193" s="177"/>
      <c r="H193" s="161"/>
      <c r="I193" s="151"/>
    </row>
    <row r="194" spans="2:9" s="146" customFormat="1" x14ac:dyDescent="0.2">
      <c r="B194" s="147"/>
      <c r="C194" s="148"/>
      <c r="D194" s="148"/>
      <c r="E194" s="158"/>
      <c r="F194" s="159"/>
      <c r="G194" s="177"/>
      <c r="H194" s="161"/>
      <c r="I194" s="151"/>
    </row>
    <row r="195" spans="2:9" s="146" customFormat="1" x14ac:dyDescent="0.2">
      <c r="B195" s="147"/>
      <c r="C195" s="148"/>
      <c r="D195" s="148"/>
      <c r="E195" s="158"/>
      <c r="F195" s="159"/>
      <c r="G195" s="177"/>
      <c r="H195" s="161"/>
      <c r="I195" s="151"/>
    </row>
    <row r="196" spans="2:9" s="146" customFormat="1" x14ac:dyDescent="0.2">
      <c r="B196" s="147"/>
      <c r="C196" s="148"/>
      <c r="D196" s="148"/>
      <c r="E196" s="158"/>
      <c r="F196" s="159"/>
      <c r="G196" s="177"/>
      <c r="H196" s="161"/>
      <c r="I196" s="151"/>
    </row>
    <row r="197" spans="2:9" s="146" customFormat="1" x14ac:dyDescent="0.2">
      <c r="B197" s="147"/>
      <c r="C197" s="148"/>
      <c r="D197" s="148"/>
      <c r="E197" s="158"/>
      <c r="F197" s="159"/>
      <c r="G197" s="177"/>
      <c r="H197" s="161"/>
      <c r="I197" s="151"/>
    </row>
    <row r="198" spans="2:9" s="146" customFormat="1" x14ac:dyDescent="0.2">
      <c r="B198" s="147"/>
      <c r="C198" s="148"/>
      <c r="D198" s="148"/>
      <c r="E198" s="158"/>
      <c r="F198" s="159"/>
      <c r="G198" s="177"/>
      <c r="H198" s="161"/>
      <c r="I198" s="151"/>
    </row>
    <row r="199" spans="2:9" s="146" customFormat="1" x14ac:dyDescent="0.2">
      <c r="B199" s="147"/>
      <c r="C199" s="148"/>
      <c r="D199" s="148"/>
      <c r="E199" s="158"/>
      <c r="F199" s="159"/>
      <c r="G199" s="177"/>
      <c r="H199" s="161"/>
      <c r="I199" s="151"/>
    </row>
    <row r="200" spans="2:9" s="146" customFormat="1" x14ac:dyDescent="0.2">
      <c r="B200" s="147"/>
      <c r="C200" s="148"/>
      <c r="D200" s="148"/>
      <c r="E200" s="158"/>
      <c r="F200" s="159"/>
      <c r="G200" s="177"/>
      <c r="H200" s="161"/>
      <c r="I200" s="151"/>
    </row>
    <row r="201" spans="2:9" s="146" customFormat="1" x14ac:dyDescent="0.2">
      <c r="B201" s="147"/>
      <c r="C201" s="148"/>
      <c r="D201" s="148"/>
      <c r="E201" s="158"/>
      <c r="F201" s="159"/>
      <c r="G201" s="177"/>
      <c r="H201" s="161"/>
      <c r="I201" s="151"/>
    </row>
    <row r="202" spans="2:9" s="146" customFormat="1" x14ac:dyDescent="0.2">
      <c r="B202" s="147"/>
      <c r="C202" s="148"/>
      <c r="D202" s="148"/>
      <c r="E202" s="158"/>
      <c r="F202" s="159"/>
      <c r="G202" s="177"/>
      <c r="H202" s="161"/>
      <c r="I202" s="151"/>
    </row>
    <row r="203" spans="2:9" s="146" customFormat="1" x14ac:dyDescent="0.2">
      <c r="B203" s="147"/>
      <c r="C203" s="148"/>
      <c r="D203" s="148"/>
      <c r="E203" s="158"/>
      <c r="F203" s="159"/>
      <c r="G203" s="177"/>
      <c r="H203" s="161"/>
      <c r="I203" s="151"/>
    </row>
    <row r="204" spans="2:9" s="146" customFormat="1" x14ac:dyDescent="0.2">
      <c r="B204" s="147"/>
      <c r="C204" s="148"/>
      <c r="D204" s="148"/>
      <c r="E204" s="158"/>
      <c r="F204" s="159"/>
      <c r="G204" s="177"/>
      <c r="H204" s="161"/>
      <c r="I204" s="151"/>
    </row>
    <row r="205" spans="2:9" s="146" customFormat="1" x14ac:dyDescent="0.2">
      <c r="B205" s="147"/>
      <c r="C205" s="148"/>
      <c r="D205" s="148"/>
      <c r="E205" s="158"/>
      <c r="F205" s="159"/>
      <c r="G205" s="177"/>
      <c r="H205" s="161"/>
      <c r="I205" s="151"/>
    </row>
    <row r="206" spans="2:9" s="146" customFormat="1" x14ac:dyDescent="0.2">
      <c r="B206" s="147"/>
      <c r="C206" s="148"/>
      <c r="D206" s="148"/>
      <c r="E206" s="158"/>
      <c r="F206" s="159"/>
      <c r="G206" s="177"/>
      <c r="H206" s="161"/>
      <c r="I206" s="151"/>
    </row>
    <row r="207" spans="2:9" s="146" customFormat="1" x14ac:dyDescent="0.2">
      <c r="B207" s="147"/>
      <c r="C207" s="148"/>
      <c r="D207" s="148"/>
      <c r="E207" s="158"/>
      <c r="F207" s="159"/>
      <c r="G207" s="177"/>
      <c r="H207" s="161"/>
      <c r="I207" s="151"/>
    </row>
    <row r="208" spans="2:9" s="146" customFormat="1" x14ac:dyDescent="0.2">
      <c r="B208" s="147"/>
      <c r="C208" s="148"/>
      <c r="D208" s="148"/>
      <c r="E208" s="158"/>
      <c r="F208" s="159"/>
      <c r="G208" s="177"/>
      <c r="H208" s="161"/>
      <c r="I208" s="151"/>
    </row>
    <row r="209" spans="2:9" s="146" customFormat="1" x14ac:dyDescent="0.2">
      <c r="B209" s="147"/>
      <c r="C209" s="148"/>
      <c r="D209" s="148"/>
      <c r="E209" s="158"/>
      <c r="F209" s="159"/>
      <c r="G209" s="177"/>
      <c r="H209" s="161"/>
      <c r="I209" s="151"/>
    </row>
    <row r="210" spans="2:9" s="146" customFormat="1" x14ac:dyDescent="0.2">
      <c r="B210" s="147"/>
      <c r="C210" s="148"/>
      <c r="D210" s="148"/>
      <c r="E210" s="158"/>
      <c r="F210" s="159"/>
      <c r="G210" s="177"/>
      <c r="H210" s="161"/>
      <c r="I210" s="151"/>
    </row>
    <row r="211" spans="2:9" s="146" customFormat="1" x14ac:dyDescent="0.2">
      <c r="B211" s="147"/>
      <c r="C211" s="148"/>
      <c r="D211" s="148"/>
      <c r="E211" s="158"/>
      <c r="F211" s="159"/>
      <c r="G211" s="177"/>
      <c r="H211" s="161"/>
      <c r="I211" s="151"/>
    </row>
    <row r="212" spans="2:9" s="146" customFormat="1" x14ac:dyDescent="0.2">
      <c r="B212" s="147"/>
      <c r="C212" s="148"/>
      <c r="D212" s="148"/>
      <c r="E212" s="158"/>
      <c r="F212" s="159"/>
      <c r="G212" s="177"/>
      <c r="H212" s="161"/>
      <c r="I212" s="151"/>
    </row>
    <row r="213" spans="2:9" s="146" customFormat="1" x14ac:dyDescent="0.2">
      <c r="B213" s="147"/>
      <c r="C213" s="148"/>
      <c r="D213" s="148"/>
      <c r="E213" s="158"/>
      <c r="F213" s="159"/>
      <c r="G213" s="177"/>
      <c r="H213" s="161"/>
      <c r="I213" s="151"/>
    </row>
    <row r="214" spans="2:9" s="146" customFormat="1" x14ac:dyDescent="0.2">
      <c r="B214" s="147"/>
      <c r="C214" s="148"/>
      <c r="D214" s="148"/>
      <c r="E214" s="158"/>
      <c r="F214" s="159"/>
      <c r="G214" s="177"/>
      <c r="H214" s="161"/>
      <c r="I214" s="151"/>
    </row>
    <row r="215" spans="2:9" s="146" customFormat="1" x14ac:dyDescent="0.2">
      <c r="B215" s="147"/>
      <c r="C215" s="148"/>
      <c r="D215" s="148"/>
      <c r="E215" s="158"/>
      <c r="F215" s="159"/>
      <c r="G215" s="177"/>
      <c r="H215" s="161"/>
      <c r="I215" s="151"/>
    </row>
    <row r="216" spans="2:9" s="146" customFormat="1" x14ac:dyDescent="0.2">
      <c r="B216" s="147"/>
      <c r="C216" s="148"/>
      <c r="D216" s="148"/>
      <c r="E216" s="158"/>
      <c r="F216" s="159"/>
      <c r="G216" s="177"/>
      <c r="H216" s="161"/>
      <c r="I216" s="151"/>
    </row>
    <row r="217" spans="2:9" s="146" customFormat="1" x14ac:dyDescent="0.2">
      <c r="B217" s="147"/>
      <c r="C217" s="148"/>
      <c r="D217" s="148"/>
      <c r="E217" s="158"/>
      <c r="F217" s="159"/>
      <c r="G217" s="177"/>
      <c r="H217" s="161"/>
      <c r="I217" s="151"/>
    </row>
    <row r="218" spans="2:9" s="146" customFormat="1" x14ac:dyDescent="0.2">
      <c r="B218" s="147"/>
      <c r="C218" s="148"/>
      <c r="D218" s="148"/>
      <c r="E218" s="158"/>
      <c r="F218" s="159"/>
      <c r="G218" s="177"/>
      <c r="H218" s="161"/>
      <c r="I218" s="151"/>
    </row>
    <row r="219" spans="2:9" s="146" customFormat="1" x14ac:dyDescent="0.2">
      <c r="B219" s="147"/>
      <c r="C219" s="148"/>
      <c r="D219" s="148"/>
      <c r="E219" s="158"/>
      <c r="F219" s="159"/>
      <c r="G219" s="177"/>
      <c r="H219" s="161"/>
      <c r="I219" s="151"/>
    </row>
    <row r="220" spans="2:9" s="146" customFormat="1" x14ac:dyDescent="0.2">
      <c r="B220" s="147"/>
      <c r="C220" s="148"/>
      <c r="D220" s="148"/>
      <c r="E220" s="158"/>
      <c r="F220" s="159"/>
      <c r="G220" s="177"/>
      <c r="H220" s="161"/>
      <c r="I220" s="151"/>
    </row>
    <row r="221" spans="2:9" s="146" customFormat="1" x14ac:dyDescent="0.2">
      <c r="B221" s="147"/>
      <c r="C221" s="148"/>
      <c r="D221" s="148"/>
      <c r="E221" s="158"/>
      <c r="F221" s="159"/>
      <c r="G221" s="177"/>
      <c r="H221" s="161"/>
      <c r="I221" s="151"/>
    </row>
    <row r="222" spans="2:9" s="146" customFormat="1" x14ac:dyDescent="0.2">
      <c r="B222" s="147"/>
      <c r="C222" s="148"/>
      <c r="D222" s="148"/>
      <c r="E222" s="158"/>
      <c r="F222" s="159"/>
      <c r="G222" s="177"/>
      <c r="H222" s="161"/>
      <c r="I222" s="151"/>
    </row>
    <row r="223" spans="2:9" s="146" customFormat="1" x14ac:dyDescent="0.2">
      <c r="B223" s="147"/>
      <c r="C223" s="148"/>
      <c r="D223" s="148"/>
      <c r="E223" s="158"/>
      <c r="F223" s="159"/>
      <c r="G223" s="177"/>
      <c r="H223" s="161"/>
      <c r="I223" s="151"/>
    </row>
    <row r="224" spans="2:9" s="146" customFormat="1" x14ac:dyDescent="0.2">
      <c r="B224" s="147"/>
      <c r="C224" s="148"/>
      <c r="D224" s="148"/>
      <c r="E224" s="158"/>
      <c r="F224" s="159"/>
      <c r="G224" s="177"/>
      <c r="H224" s="161"/>
      <c r="I224" s="151"/>
    </row>
    <row r="225" spans="2:9" s="146" customFormat="1" x14ac:dyDescent="0.2">
      <c r="B225" s="147"/>
      <c r="C225" s="148"/>
      <c r="D225" s="148"/>
      <c r="E225" s="158"/>
      <c r="F225" s="159"/>
      <c r="G225" s="177"/>
      <c r="H225" s="161"/>
      <c r="I225" s="151"/>
    </row>
    <row r="226" spans="2:9" s="146" customFormat="1" x14ac:dyDescent="0.2">
      <c r="B226" s="147"/>
      <c r="C226" s="148"/>
      <c r="D226" s="148"/>
      <c r="E226" s="158"/>
      <c r="F226" s="159"/>
      <c r="G226" s="177"/>
      <c r="H226" s="161"/>
      <c r="I226" s="151"/>
    </row>
    <row r="227" spans="2:9" s="146" customFormat="1" x14ac:dyDescent="0.2">
      <c r="B227" s="147"/>
      <c r="C227" s="148"/>
      <c r="D227" s="148"/>
      <c r="E227" s="158"/>
      <c r="F227" s="159"/>
      <c r="G227" s="177"/>
      <c r="H227" s="161"/>
      <c r="I227" s="151"/>
    </row>
  </sheetData>
  <pageMargins left="0.7" right="0.7" top="0.75" bottom="0.75" header="0.3" footer="0.3"/>
  <pageSetup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7"/>
  <sheetViews>
    <sheetView zoomScale="94" zoomScaleNormal="94" workbookViewId="0">
      <selection activeCell="G5" sqref="G5"/>
    </sheetView>
  </sheetViews>
  <sheetFormatPr baseColWidth="10" defaultRowHeight="16" x14ac:dyDescent="0.2"/>
  <cols>
    <col min="2" max="2" width="47.6640625" style="9" customWidth="1"/>
    <col min="3" max="3" width="12.33203125" style="10" bestFit="1" customWidth="1"/>
    <col min="4" max="4" width="12.83203125" style="11" bestFit="1" customWidth="1"/>
    <col min="5" max="5" width="13.83203125" style="11" customWidth="1"/>
    <col min="6" max="6" width="13.33203125" style="12" bestFit="1" customWidth="1"/>
    <col min="7" max="7" width="76" style="167" customWidth="1"/>
  </cols>
  <sheetData>
    <row r="1" spans="1:7" ht="24" x14ac:dyDescent="0.2">
      <c r="A1" s="114" t="s">
        <v>97</v>
      </c>
      <c r="B1" s="115"/>
      <c r="C1" s="113"/>
      <c r="D1" s="113"/>
      <c r="E1" s="113"/>
      <c r="F1" s="113"/>
      <c r="G1" s="142"/>
    </row>
    <row r="2" spans="1:7" x14ac:dyDescent="0.2">
      <c r="B2" s="7"/>
      <c r="C2" s="8"/>
      <c r="D2" s="8"/>
      <c r="E2" s="8"/>
      <c r="F2" s="8"/>
      <c r="G2" s="166"/>
    </row>
    <row r="3" spans="1:7" ht="17" thickBot="1" x14ac:dyDescent="0.25">
      <c r="A3" s="116" t="s">
        <v>56</v>
      </c>
    </row>
    <row r="4" spans="1:7" ht="36" thickTop="1" thickBot="1" x14ac:dyDescent="0.25">
      <c r="A4" s="116"/>
      <c r="B4" s="13" t="s">
        <v>0</v>
      </c>
      <c r="C4" s="14" t="s">
        <v>1</v>
      </c>
      <c r="D4" s="15" t="s">
        <v>2</v>
      </c>
      <c r="E4" s="15" t="s">
        <v>3</v>
      </c>
      <c r="F4" s="16" t="s">
        <v>4</v>
      </c>
    </row>
    <row r="5" spans="1:7" x14ac:dyDescent="0.2">
      <c r="A5" s="116">
        <v>4110</v>
      </c>
      <c r="B5" s="5" t="s">
        <v>28</v>
      </c>
      <c r="C5" s="135"/>
      <c r="D5" s="136"/>
      <c r="E5" s="136"/>
      <c r="F5" s="137"/>
    </row>
    <row r="6" spans="1:7" x14ac:dyDescent="0.2">
      <c r="A6" s="116">
        <v>4111</v>
      </c>
      <c r="B6" s="6" t="s">
        <v>29</v>
      </c>
      <c r="C6" s="19">
        <v>132</v>
      </c>
      <c r="D6" s="17">
        <v>235</v>
      </c>
      <c r="E6" s="17">
        <f>SUM(C6*D6)</f>
        <v>31020</v>
      </c>
      <c r="F6" s="18"/>
    </row>
    <row r="7" spans="1:7" x14ac:dyDescent="0.2">
      <c r="A7" s="116">
        <v>4112</v>
      </c>
      <c r="B7" s="6" t="s">
        <v>30</v>
      </c>
      <c r="C7" s="19">
        <v>11</v>
      </c>
      <c r="D7" s="17">
        <v>260</v>
      </c>
      <c r="E7" s="17">
        <f>SUM(C7*D7)</f>
        <v>2860</v>
      </c>
      <c r="F7" s="18"/>
    </row>
    <row r="8" spans="1:7" x14ac:dyDescent="0.2">
      <c r="A8" s="116">
        <v>4113</v>
      </c>
      <c r="B8" s="84" t="s">
        <v>31</v>
      </c>
      <c r="C8" s="106">
        <v>11</v>
      </c>
      <c r="D8" s="85">
        <v>310</v>
      </c>
      <c r="E8" s="85">
        <f>SUM(C8*D8)</f>
        <v>3410</v>
      </c>
      <c r="F8" s="86"/>
    </row>
    <row r="9" spans="1:7" x14ac:dyDescent="0.2">
      <c r="A9" s="116">
        <v>4120</v>
      </c>
      <c r="B9" s="6" t="s">
        <v>32</v>
      </c>
      <c r="C9" s="138"/>
      <c r="D9" s="139"/>
      <c r="E9" s="139"/>
      <c r="F9" s="140"/>
    </row>
    <row r="10" spans="1:7" x14ac:dyDescent="0.2">
      <c r="A10" s="116">
        <v>4121</v>
      </c>
      <c r="B10" s="6" t="s">
        <v>29</v>
      </c>
      <c r="C10" s="19">
        <v>633</v>
      </c>
      <c r="D10" s="17">
        <v>170</v>
      </c>
      <c r="E10" s="17">
        <f>SUM(C10*D10)</f>
        <v>107610</v>
      </c>
      <c r="F10" s="18"/>
    </row>
    <row r="11" spans="1:7" x14ac:dyDescent="0.2">
      <c r="A11" s="116">
        <v>4122</v>
      </c>
      <c r="B11" s="6" t="s">
        <v>30</v>
      </c>
      <c r="C11" s="19">
        <v>39</v>
      </c>
      <c r="D11" s="17">
        <v>195</v>
      </c>
      <c r="E11" s="17">
        <f>SUM(C11*D11)</f>
        <v>7605</v>
      </c>
      <c r="F11" s="18"/>
    </row>
    <row r="12" spans="1:7" x14ac:dyDescent="0.2">
      <c r="A12" s="116">
        <v>4123</v>
      </c>
      <c r="B12" s="6" t="s">
        <v>31</v>
      </c>
      <c r="C12" s="19">
        <v>22</v>
      </c>
      <c r="D12" s="17">
        <v>245</v>
      </c>
      <c r="E12" s="17">
        <f>SUM(C12*D12)</f>
        <v>5390</v>
      </c>
      <c r="F12" s="18"/>
    </row>
    <row r="13" spans="1:7" x14ac:dyDescent="0.2">
      <c r="A13" s="116">
        <v>4130</v>
      </c>
      <c r="B13" s="6" t="s">
        <v>33</v>
      </c>
      <c r="C13" s="138"/>
      <c r="D13" s="139"/>
      <c r="E13" s="139"/>
      <c r="F13" s="140"/>
    </row>
    <row r="14" spans="1:7" x14ac:dyDescent="0.2">
      <c r="A14" s="116">
        <v>4131</v>
      </c>
      <c r="B14" s="6" t="s">
        <v>29</v>
      </c>
      <c r="C14" s="19">
        <v>121</v>
      </c>
      <c r="D14" s="17">
        <v>80</v>
      </c>
      <c r="E14" s="17">
        <f>SUM(C14*D14)</f>
        <v>9680</v>
      </c>
      <c r="F14" s="18"/>
    </row>
    <row r="15" spans="1:7" x14ac:dyDescent="0.2">
      <c r="A15" s="116">
        <v>4132</v>
      </c>
      <c r="B15" s="6" t="s">
        <v>30</v>
      </c>
      <c r="C15" s="19">
        <v>11</v>
      </c>
      <c r="D15" s="17">
        <v>105</v>
      </c>
      <c r="E15" s="17">
        <f>SUM(C15*D15)</f>
        <v>1155</v>
      </c>
      <c r="F15" s="18"/>
      <c r="G15" s="168"/>
    </row>
    <row r="16" spans="1:7" x14ac:dyDescent="0.2">
      <c r="A16" s="116">
        <v>4133</v>
      </c>
      <c r="B16" s="6" t="s">
        <v>31</v>
      </c>
      <c r="C16" s="19">
        <v>6</v>
      </c>
      <c r="D16" s="17">
        <v>155</v>
      </c>
      <c r="E16" s="17">
        <f>SUM(C16*D16)</f>
        <v>930</v>
      </c>
      <c r="F16" s="18"/>
    </row>
    <row r="17" spans="1:6" x14ac:dyDescent="0.2">
      <c r="A17" s="116"/>
      <c r="B17" s="6" t="s">
        <v>93</v>
      </c>
      <c r="C17" s="138"/>
      <c r="D17" s="139"/>
      <c r="E17" s="139"/>
      <c r="F17" s="140"/>
    </row>
    <row r="18" spans="1:6" ht="17" thickBot="1" x14ac:dyDescent="0.25">
      <c r="A18" s="116"/>
      <c r="B18" s="6" t="s">
        <v>94</v>
      </c>
      <c r="C18" s="19">
        <v>6</v>
      </c>
      <c r="D18" s="17">
        <v>180</v>
      </c>
      <c r="E18" s="17">
        <f>SUM(C18*D18)</f>
        <v>1080</v>
      </c>
      <c r="F18" s="18"/>
    </row>
    <row r="19" spans="1:6" ht="17" thickBot="1" x14ac:dyDescent="0.25">
      <c r="A19" s="116">
        <v>4100</v>
      </c>
      <c r="B19" s="87" t="s">
        <v>5</v>
      </c>
      <c r="C19" s="88">
        <f>SUM(C6:C18)</f>
        <v>992</v>
      </c>
      <c r="D19" s="89"/>
      <c r="E19" s="89"/>
      <c r="F19" s="90">
        <f>SUM(E6:E18)</f>
        <v>170740</v>
      </c>
    </row>
    <row r="20" spans="1:6" ht="17" thickBot="1" x14ac:dyDescent="0.25">
      <c r="A20" s="116"/>
      <c r="B20" s="125"/>
      <c r="C20" s="126"/>
      <c r="D20" s="127"/>
      <c r="E20" s="127"/>
      <c r="F20" s="128"/>
    </row>
    <row r="21" spans="1:6" ht="17" thickBot="1" x14ac:dyDescent="0.25">
      <c r="A21" s="116">
        <v>4140</v>
      </c>
      <c r="B21" s="110" t="s">
        <v>34</v>
      </c>
      <c r="C21" s="132"/>
      <c r="D21" s="133"/>
      <c r="E21" s="133"/>
      <c r="F21" s="134"/>
    </row>
    <row r="22" spans="1:6" x14ac:dyDescent="0.2">
      <c r="A22" s="116">
        <v>4141</v>
      </c>
      <c r="B22" s="109" t="s">
        <v>35</v>
      </c>
      <c r="C22" s="107"/>
      <c r="D22" s="20"/>
      <c r="E22" s="20">
        <v>14000</v>
      </c>
      <c r="F22" s="21"/>
    </row>
    <row r="23" spans="1:6" x14ac:dyDescent="0.2">
      <c r="A23" s="116"/>
      <c r="B23" s="109" t="s">
        <v>83</v>
      </c>
      <c r="C23" s="118"/>
      <c r="D23" s="119"/>
      <c r="E23" s="119">
        <v>650</v>
      </c>
      <c r="F23" s="120"/>
    </row>
    <row r="24" spans="1:6" x14ac:dyDescent="0.2">
      <c r="A24" s="116">
        <v>4143</v>
      </c>
      <c r="B24" s="1" t="s">
        <v>7</v>
      </c>
      <c r="C24" s="22"/>
      <c r="D24" s="23"/>
      <c r="E24" s="23">
        <v>25000</v>
      </c>
      <c r="F24" s="24"/>
    </row>
    <row r="25" spans="1:6" x14ac:dyDescent="0.2">
      <c r="A25" s="116">
        <v>4144</v>
      </c>
      <c r="B25" s="1" t="s">
        <v>36</v>
      </c>
      <c r="C25" s="22"/>
      <c r="D25" s="23"/>
      <c r="E25" s="23">
        <v>0</v>
      </c>
      <c r="F25" s="24"/>
    </row>
    <row r="26" spans="1:6" x14ac:dyDescent="0.2">
      <c r="A26" s="116">
        <v>4145</v>
      </c>
      <c r="B26" s="1" t="s">
        <v>37</v>
      </c>
      <c r="C26" s="108"/>
      <c r="D26" s="23"/>
      <c r="E26" s="23">
        <v>1000</v>
      </c>
      <c r="F26" s="24"/>
    </row>
    <row r="27" spans="1:6" x14ac:dyDescent="0.2">
      <c r="A27" s="116">
        <v>4146</v>
      </c>
      <c r="B27" s="1" t="s">
        <v>38</v>
      </c>
      <c r="C27" s="22"/>
      <c r="D27" s="23"/>
      <c r="E27" s="23">
        <v>0</v>
      </c>
      <c r="F27" s="24"/>
    </row>
    <row r="28" spans="1:6" ht="17" thickBot="1" x14ac:dyDescent="0.25">
      <c r="A28" s="116">
        <v>4149</v>
      </c>
      <c r="B28" s="2" t="s">
        <v>84</v>
      </c>
      <c r="C28" s="3"/>
      <c r="D28" s="25"/>
      <c r="E28" s="25">
        <v>5000</v>
      </c>
      <c r="F28" s="26"/>
    </row>
    <row r="29" spans="1:6" ht="17" thickBot="1" x14ac:dyDescent="0.25">
      <c r="A29" s="116"/>
      <c r="B29" s="27" t="s">
        <v>6</v>
      </c>
      <c r="C29" s="28"/>
      <c r="D29" s="29"/>
      <c r="E29" s="111">
        <f>SUM(E22:E28)</f>
        <v>45650</v>
      </c>
      <c r="F29" s="112"/>
    </row>
    <row r="30" spans="1:6" x14ac:dyDescent="0.2">
      <c r="A30" s="116">
        <v>4150</v>
      </c>
      <c r="B30" s="124" t="s">
        <v>39</v>
      </c>
      <c r="C30" s="129"/>
      <c r="D30" s="130"/>
      <c r="E30" s="130"/>
      <c r="F30" s="131"/>
    </row>
    <row r="31" spans="1:6" x14ac:dyDescent="0.2">
      <c r="A31" s="116">
        <v>4151</v>
      </c>
      <c r="B31" s="1" t="s">
        <v>57</v>
      </c>
      <c r="C31" s="162"/>
      <c r="D31" s="163">
        <f>_xlfn.SINGLE(SUM(E32:E36))</f>
        <v>4790</v>
      </c>
      <c r="E31" s="163"/>
      <c r="F31" s="164"/>
    </row>
    <row r="32" spans="1:6" x14ac:dyDescent="0.2">
      <c r="A32" s="116"/>
      <c r="B32" s="1" t="s">
        <v>95</v>
      </c>
      <c r="C32" s="44">
        <v>65</v>
      </c>
      <c r="D32" s="23">
        <v>50</v>
      </c>
      <c r="E32" s="23">
        <f>SUM(C32*D32)</f>
        <v>3250</v>
      </c>
      <c r="F32" s="24"/>
    </row>
    <row r="33" spans="1:7" x14ac:dyDescent="0.2">
      <c r="A33" s="116"/>
      <c r="B33" s="1" t="s">
        <v>96</v>
      </c>
      <c r="C33" s="44">
        <v>5</v>
      </c>
      <c r="D33" s="23">
        <v>65</v>
      </c>
      <c r="E33" s="23">
        <f>SUM(C33*D33)</f>
        <v>325</v>
      </c>
      <c r="F33" s="24"/>
    </row>
    <row r="34" spans="1:7" x14ac:dyDescent="0.2">
      <c r="A34" s="116">
        <v>4152</v>
      </c>
      <c r="B34" s="1" t="s">
        <v>58</v>
      </c>
      <c r="C34" s="162"/>
      <c r="D34" s="163"/>
      <c r="E34" s="163"/>
      <c r="F34" s="164"/>
    </row>
    <row r="35" spans="1:7" x14ac:dyDescent="0.2">
      <c r="A35" s="116"/>
      <c r="B35" s="109" t="s">
        <v>95</v>
      </c>
      <c r="C35" s="165">
        <v>15</v>
      </c>
      <c r="D35" s="119">
        <v>65</v>
      </c>
      <c r="E35" s="119">
        <f>SUM(C35*D35)</f>
        <v>975</v>
      </c>
      <c r="F35" s="120"/>
    </row>
    <row r="36" spans="1:7" ht="17" thickBot="1" x14ac:dyDescent="0.25">
      <c r="A36" s="116"/>
      <c r="B36" s="1" t="s">
        <v>96</v>
      </c>
      <c r="C36" s="44">
        <v>3</v>
      </c>
      <c r="D36" s="23">
        <v>80</v>
      </c>
      <c r="E36" s="23">
        <f>SUM(C36*D36)</f>
        <v>240</v>
      </c>
      <c r="F36" s="24"/>
    </row>
    <row r="37" spans="1:7" ht="17" thickBot="1" x14ac:dyDescent="0.25">
      <c r="A37" s="116"/>
      <c r="B37" s="81" t="s">
        <v>8</v>
      </c>
      <c r="C37" s="82">
        <f>_xlfn.SINGLE(SUM(C32:C36))</f>
        <v>88</v>
      </c>
      <c r="D37" s="83"/>
      <c r="E37" s="83">
        <f>SUM(E29:E34)</f>
        <v>49225</v>
      </c>
      <c r="F37" s="30"/>
      <c r="G37" s="144"/>
    </row>
    <row r="38" spans="1:7" ht="17" thickBot="1" x14ac:dyDescent="0.25">
      <c r="A38" s="116">
        <v>4000</v>
      </c>
      <c r="B38" s="31" t="s">
        <v>9</v>
      </c>
      <c r="C38" s="32"/>
      <c r="D38" s="33"/>
      <c r="E38" s="33"/>
      <c r="F38" s="34">
        <f>SUM(E37+F19)</f>
        <v>219965</v>
      </c>
      <c r="G38" s="169"/>
    </row>
    <row r="39" spans="1:7" ht="17" thickBot="1" x14ac:dyDescent="0.25">
      <c r="A39" s="116"/>
      <c r="B39" s="81"/>
      <c r="C39" s="82"/>
      <c r="D39" s="83"/>
      <c r="E39" s="83"/>
      <c r="F39" s="30"/>
      <c r="G39" s="170"/>
    </row>
    <row r="40" spans="1:7" ht="35" thickBot="1" x14ac:dyDescent="0.25">
      <c r="A40" s="116"/>
      <c r="B40" s="35" t="s">
        <v>10</v>
      </c>
      <c r="C40" s="28" t="s">
        <v>1</v>
      </c>
      <c r="D40" s="36" t="s">
        <v>2</v>
      </c>
      <c r="E40" s="36" t="s">
        <v>11</v>
      </c>
      <c r="F40" s="37" t="s">
        <v>12</v>
      </c>
    </row>
    <row r="41" spans="1:7" x14ac:dyDescent="0.2">
      <c r="A41" s="116"/>
      <c r="B41" s="46" t="s">
        <v>40</v>
      </c>
      <c r="C41" s="47"/>
      <c r="D41" s="48"/>
      <c r="E41" s="49"/>
      <c r="F41" s="50">
        <f>SUM(E42:E43)</f>
        <v>4500</v>
      </c>
      <c r="G41" s="171"/>
    </row>
    <row r="42" spans="1:7" x14ac:dyDescent="0.2">
      <c r="A42" s="116">
        <v>5101</v>
      </c>
      <c r="B42" s="93" t="s">
        <v>100</v>
      </c>
      <c r="C42" s="94"/>
      <c r="D42" s="95"/>
      <c r="E42" s="95">
        <v>3000</v>
      </c>
      <c r="F42" s="96"/>
      <c r="G42" s="171"/>
    </row>
    <row r="43" spans="1:7" x14ac:dyDescent="0.2">
      <c r="A43" s="116">
        <v>5102</v>
      </c>
      <c r="B43" s="93" t="s">
        <v>101</v>
      </c>
      <c r="C43" s="94"/>
      <c r="D43" s="95"/>
      <c r="E43" s="95">
        <v>1500</v>
      </c>
      <c r="F43" s="96"/>
      <c r="G43" s="171"/>
    </row>
    <row r="44" spans="1:7" x14ac:dyDescent="0.2">
      <c r="A44" s="116">
        <v>5104</v>
      </c>
      <c r="B44" s="46" t="s">
        <v>59</v>
      </c>
      <c r="C44" s="47"/>
      <c r="D44" s="48"/>
      <c r="E44" s="49"/>
      <c r="F44" s="50">
        <f>SUM(E45:E46)</f>
        <v>3500</v>
      </c>
      <c r="G44" s="171"/>
    </row>
    <row r="45" spans="1:7" ht="17" x14ac:dyDescent="0.2">
      <c r="A45" s="116"/>
      <c r="B45" s="93" t="s">
        <v>60</v>
      </c>
      <c r="C45" s="94">
        <v>50</v>
      </c>
      <c r="D45" s="95">
        <v>50</v>
      </c>
      <c r="E45" s="95">
        <v>2400</v>
      </c>
      <c r="F45" s="96"/>
      <c r="G45" s="171" t="s">
        <v>107</v>
      </c>
    </row>
    <row r="46" spans="1:7" x14ac:dyDescent="0.2">
      <c r="A46" s="116"/>
      <c r="B46" s="93" t="s">
        <v>102</v>
      </c>
      <c r="C46" s="94">
        <v>1</v>
      </c>
      <c r="D46" s="95"/>
      <c r="E46" s="95">
        <v>1100</v>
      </c>
      <c r="F46" s="96"/>
      <c r="G46" s="171"/>
    </row>
    <row r="47" spans="1:7" x14ac:dyDescent="0.2">
      <c r="A47" s="116">
        <v>5105</v>
      </c>
      <c r="B47" s="46" t="s">
        <v>61</v>
      </c>
      <c r="C47" s="47"/>
      <c r="D47" s="48"/>
      <c r="E47" s="49"/>
      <c r="F47" s="50">
        <f>SUM(E48:E51)</f>
        <v>28410</v>
      </c>
      <c r="G47" s="171"/>
    </row>
    <row r="48" spans="1:7" x14ac:dyDescent="0.2">
      <c r="A48" s="116"/>
      <c r="B48" s="91" t="s">
        <v>27</v>
      </c>
      <c r="C48" s="22"/>
      <c r="D48" s="45"/>
      <c r="E48" s="45">
        <v>0</v>
      </c>
      <c r="F48" s="24"/>
      <c r="G48" s="171"/>
    </row>
    <row r="49" spans="1:8" x14ac:dyDescent="0.2">
      <c r="A49" s="116"/>
      <c r="B49" s="91" t="s">
        <v>52</v>
      </c>
      <c r="C49" s="22">
        <v>3</v>
      </c>
      <c r="D49" s="45">
        <v>270</v>
      </c>
      <c r="E49" s="45">
        <f>SUM(C49*D49)</f>
        <v>810</v>
      </c>
      <c r="F49" s="24"/>
      <c r="G49" s="171"/>
    </row>
    <row r="50" spans="1:8" x14ac:dyDescent="0.2">
      <c r="A50" s="116"/>
      <c r="B50" s="1" t="s">
        <v>16</v>
      </c>
      <c r="C50" s="44"/>
      <c r="D50" s="23"/>
      <c r="E50" s="23">
        <v>24000</v>
      </c>
      <c r="F50" s="24"/>
      <c r="G50" s="172"/>
    </row>
    <row r="51" spans="1:8" ht="17" x14ac:dyDescent="0.2">
      <c r="A51" s="116"/>
      <c r="B51" s="1" t="s">
        <v>124</v>
      </c>
      <c r="C51" s="44"/>
      <c r="D51" s="23"/>
      <c r="E51" s="23">
        <v>3600</v>
      </c>
      <c r="F51" s="24"/>
      <c r="G51" s="172" t="s">
        <v>125</v>
      </c>
    </row>
    <row r="52" spans="1:8" ht="68" x14ac:dyDescent="0.2">
      <c r="A52" s="116">
        <v>5106</v>
      </c>
      <c r="B52" s="104" t="s">
        <v>62</v>
      </c>
      <c r="C52" s="51"/>
      <c r="D52" s="105"/>
      <c r="E52" s="105"/>
      <c r="F52" s="185">
        <f>_xlfn.SINGLE(SUM(E53:E70))</f>
        <v>92700</v>
      </c>
      <c r="G52" s="143" t="s">
        <v>126</v>
      </c>
    </row>
    <row r="53" spans="1:8" x14ac:dyDescent="0.2">
      <c r="A53" s="116"/>
      <c r="B53" s="38" t="s">
        <v>41</v>
      </c>
      <c r="C53" s="39"/>
      <c r="D53" s="40"/>
      <c r="E53" s="41"/>
      <c r="F53" s="42"/>
      <c r="H53" s="117"/>
    </row>
    <row r="54" spans="1:8" x14ac:dyDescent="0.2">
      <c r="A54" s="116"/>
      <c r="B54" s="43" t="s">
        <v>42</v>
      </c>
      <c r="C54" s="44">
        <f>SUM('F&amp;B Broke Down'!C3)</f>
        <v>15</v>
      </c>
      <c r="D54" s="23">
        <f>SUM('F&amp;B Broke Down'!B3)</f>
        <v>0</v>
      </c>
      <c r="E54" s="23">
        <f>_xlfn.SINGLE(SUM('F&amp;B Broke Down'!I3))</f>
        <v>300</v>
      </c>
      <c r="F54" s="24"/>
    </row>
    <row r="55" spans="1:8" x14ac:dyDescent="0.2">
      <c r="A55" s="116"/>
      <c r="B55" s="38" t="s">
        <v>53</v>
      </c>
      <c r="C55" s="39"/>
      <c r="D55" s="40"/>
      <c r="E55" s="41"/>
      <c r="F55" s="42"/>
    </row>
    <row r="56" spans="1:8" x14ac:dyDescent="0.2">
      <c r="A56" s="116"/>
      <c r="B56" s="43" t="s">
        <v>54</v>
      </c>
      <c r="C56" s="22"/>
      <c r="D56" s="45"/>
      <c r="E56" s="45">
        <f>SUM(C56*D56)</f>
        <v>0</v>
      </c>
      <c r="F56" s="24"/>
      <c r="G56" s="171"/>
    </row>
    <row r="57" spans="1:8" x14ac:dyDescent="0.2">
      <c r="A57" s="116"/>
      <c r="B57" s="38" t="s">
        <v>49</v>
      </c>
      <c r="C57" s="39"/>
      <c r="D57" s="40"/>
      <c r="E57" s="41"/>
      <c r="F57" s="42"/>
    </row>
    <row r="58" spans="1:8" x14ac:dyDescent="0.2">
      <c r="A58" s="116"/>
      <c r="B58" s="43" t="s">
        <v>13</v>
      </c>
      <c r="C58" s="22">
        <v>3</v>
      </c>
      <c r="D58" s="45">
        <v>100</v>
      </c>
      <c r="E58" s="45">
        <f>_xlfn.SINGLE(SUM('F&amp;B Broke Down'!I5))</f>
        <v>198</v>
      </c>
      <c r="F58" s="24"/>
      <c r="G58" s="171"/>
    </row>
    <row r="59" spans="1:8" x14ac:dyDescent="0.2">
      <c r="A59" s="116"/>
      <c r="B59" s="43" t="s">
        <v>14</v>
      </c>
      <c r="C59" s="22">
        <f>SUM('F&amp;B Broke Down'!C4)</f>
        <v>700</v>
      </c>
      <c r="D59" s="45">
        <f>SUM('F&amp;B Broke Down'!B4)</f>
        <v>0</v>
      </c>
      <c r="E59" s="45">
        <f>_xlfn.SINGLE(SUM('F&amp;B Broke Down'!I4))</f>
        <v>13186.8</v>
      </c>
      <c r="F59" s="24"/>
      <c r="G59" s="171"/>
    </row>
    <row r="60" spans="1:8" x14ac:dyDescent="0.2">
      <c r="A60" s="116"/>
      <c r="B60" s="38" t="s">
        <v>24</v>
      </c>
      <c r="C60" s="39"/>
      <c r="D60" s="40"/>
      <c r="E60" s="41"/>
      <c r="F60" s="42"/>
    </row>
    <row r="61" spans="1:8" x14ac:dyDescent="0.2">
      <c r="A61" s="116"/>
      <c r="B61" s="4" t="s">
        <v>109</v>
      </c>
      <c r="C61" s="22">
        <v>0</v>
      </c>
      <c r="D61" s="45">
        <v>0</v>
      </c>
      <c r="E61" s="45">
        <v>0</v>
      </c>
      <c r="F61" s="24"/>
      <c r="G61" s="171"/>
    </row>
    <row r="62" spans="1:8" x14ac:dyDescent="0.2">
      <c r="A62" s="116"/>
      <c r="B62" s="4" t="s">
        <v>50</v>
      </c>
      <c r="C62" s="22">
        <f>_xlfn.SINGLE(SUM('F&amp;B Broke Down'!C7))</f>
        <v>400</v>
      </c>
      <c r="D62" s="45">
        <v>30</v>
      </c>
      <c r="E62" s="45">
        <f>_xlfn.SINGLE(SUM('F&amp;B Broke Down'!I6))</f>
        <v>15246</v>
      </c>
      <c r="F62" s="24"/>
      <c r="G62" s="171"/>
    </row>
    <row r="63" spans="1:8" x14ac:dyDescent="0.2">
      <c r="A63" s="116"/>
      <c r="B63" s="38" t="s">
        <v>80</v>
      </c>
      <c r="C63" s="39"/>
      <c r="D63" s="40"/>
      <c r="E63" s="41"/>
      <c r="F63" s="42"/>
    </row>
    <row r="64" spans="1:8" x14ac:dyDescent="0.2">
      <c r="A64" s="116"/>
      <c r="B64" s="4" t="s">
        <v>81</v>
      </c>
      <c r="C64" s="22">
        <f>_xlfn.SINGLE(SUM('F&amp;B Broke Down'!C7))</f>
        <v>400</v>
      </c>
      <c r="D64" s="45">
        <f>SUM('F&amp;B Broke Down'!B7)</f>
        <v>30</v>
      </c>
      <c r="E64" s="45">
        <f>_xlfn.SINGLE(SUM('F&amp;B Broke Down'!I7))</f>
        <v>15840</v>
      </c>
      <c r="F64" s="24"/>
      <c r="G64" s="171"/>
    </row>
    <row r="65" spans="1:10" x14ac:dyDescent="0.2">
      <c r="A65" s="116"/>
      <c r="B65" s="38" t="s">
        <v>98</v>
      </c>
      <c r="C65" s="39"/>
      <c r="D65" s="40"/>
      <c r="E65" s="41"/>
      <c r="F65" s="42"/>
    </row>
    <row r="66" spans="1:10" x14ac:dyDescent="0.2">
      <c r="A66" s="116"/>
      <c r="B66" s="4" t="s">
        <v>110</v>
      </c>
      <c r="C66" s="22">
        <f>_xlfn.SINGLE(SUM('F&amp;B Broke Down'!C8))</f>
        <v>400</v>
      </c>
      <c r="D66" s="45">
        <v>37</v>
      </c>
      <c r="E66" s="45">
        <f>_xlfn.SINGLE(SUM('F&amp;B Broke Down'!I8))</f>
        <v>15840</v>
      </c>
      <c r="F66" s="24"/>
      <c r="G66" s="171"/>
    </row>
    <row r="67" spans="1:10" x14ac:dyDescent="0.2">
      <c r="A67" s="116"/>
      <c r="B67" s="38" t="s">
        <v>43</v>
      </c>
      <c r="C67" s="39"/>
      <c r="D67" s="40"/>
      <c r="E67" s="41"/>
      <c r="F67" s="42"/>
    </row>
    <row r="68" spans="1:10" x14ac:dyDescent="0.2">
      <c r="A68" s="116"/>
      <c r="B68" s="4" t="s">
        <v>44</v>
      </c>
      <c r="C68" s="22">
        <v>450</v>
      </c>
      <c r="D68" s="45">
        <v>44</v>
      </c>
      <c r="E68" s="45">
        <f>SUM('F&amp;B Broke Down'!I9)</f>
        <v>29040</v>
      </c>
      <c r="F68" s="24"/>
      <c r="G68" s="171"/>
    </row>
    <row r="69" spans="1:10" x14ac:dyDescent="0.2">
      <c r="A69" s="116"/>
      <c r="B69" s="38" t="s">
        <v>55</v>
      </c>
      <c r="C69" s="39"/>
      <c r="D69" s="40"/>
      <c r="E69" s="41"/>
      <c r="F69" s="42"/>
    </row>
    <row r="70" spans="1:10" x14ac:dyDescent="0.2">
      <c r="A70" s="116"/>
      <c r="B70" s="4" t="s">
        <v>26</v>
      </c>
      <c r="C70" s="22">
        <f>SUM('F&amp;B Broke Down'!C10)</f>
        <v>55</v>
      </c>
      <c r="D70" s="45">
        <f>SUM('F&amp;B Broke Down'!B10)</f>
        <v>42</v>
      </c>
      <c r="E70" s="45">
        <f>SUM('F&amp;B Broke Down'!I10)</f>
        <v>3049.2</v>
      </c>
      <c r="F70" s="24"/>
      <c r="G70" s="171"/>
    </row>
    <row r="71" spans="1:10" x14ac:dyDescent="0.2">
      <c r="A71" s="116">
        <v>5108</v>
      </c>
      <c r="B71" s="46" t="s">
        <v>63</v>
      </c>
      <c r="C71" s="51"/>
      <c r="D71" s="52"/>
      <c r="E71" s="49"/>
      <c r="F71" s="50">
        <f>SUM(E72:E73)</f>
        <v>4182.5</v>
      </c>
      <c r="G71" s="173"/>
    </row>
    <row r="72" spans="1:10" ht="17" x14ac:dyDescent="0.2">
      <c r="A72" s="116"/>
      <c r="B72" s="43" t="s">
        <v>17</v>
      </c>
      <c r="C72" s="44">
        <v>950</v>
      </c>
      <c r="D72" s="23">
        <v>4.1500000000000004</v>
      </c>
      <c r="E72" s="23">
        <f>_xlfn.SINGLE(SUM(D72*C72))</f>
        <v>3942.5000000000005</v>
      </c>
      <c r="F72" s="53"/>
      <c r="G72" s="174" t="s">
        <v>119</v>
      </c>
    </row>
    <row r="73" spans="1:10" x14ac:dyDescent="0.2">
      <c r="A73" s="116"/>
      <c r="B73" s="54" t="s">
        <v>22</v>
      </c>
      <c r="C73" s="44">
        <v>4</v>
      </c>
      <c r="D73" s="55">
        <v>60</v>
      </c>
      <c r="E73" s="55">
        <f>SUM(C73*D73)</f>
        <v>240</v>
      </c>
      <c r="F73" s="24"/>
      <c r="G73" s="173"/>
    </row>
    <row r="74" spans="1:10" x14ac:dyDescent="0.2">
      <c r="A74" s="116">
        <v>5109</v>
      </c>
      <c r="B74" s="46" t="s">
        <v>36</v>
      </c>
      <c r="C74" s="47"/>
      <c r="D74" s="48"/>
      <c r="E74" s="48"/>
      <c r="F74" s="50">
        <f>SUM(E75)</f>
        <v>400</v>
      </c>
      <c r="G74" s="172"/>
    </row>
    <row r="75" spans="1:10" x14ac:dyDescent="0.2">
      <c r="A75" s="116"/>
      <c r="B75" s="1" t="s">
        <v>82</v>
      </c>
      <c r="C75" s="44"/>
      <c r="D75" s="23"/>
      <c r="E75" s="45">
        <v>400</v>
      </c>
      <c r="F75" s="53"/>
      <c r="G75" s="172"/>
    </row>
    <row r="76" spans="1:10" x14ac:dyDescent="0.2">
      <c r="A76" s="116">
        <v>5110</v>
      </c>
      <c r="B76" s="56" t="s">
        <v>64</v>
      </c>
      <c r="C76" s="57"/>
      <c r="D76" s="58"/>
      <c r="E76" s="58"/>
      <c r="F76" s="59">
        <f>SUM(E77:E78)</f>
        <v>11300</v>
      </c>
      <c r="G76" s="171"/>
    </row>
    <row r="77" spans="1:10" x14ac:dyDescent="0.2">
      <c r="A77" s="116"/>
      <c r="B77" s="54" t="s">
        <v>92</v>
      </c>
      <c r="C77" s="44">
        <v>900</v>
      </c>
      <c r="D77" s="55">
        <v>7</v>
      </c>
      <c r="E77" s="55">
        <v>6300</v>
      </c>
      <c r="F77" s="24"/>
      <c r="G77" s="171"/>
    </row>
    <row r="78" spans="1:10" x14ac:dyDescent="0.2">
      <c r="A78" s="116"/>
      <c r="B78" s="54" t="s">
        <v>91</v>
      </c>
      <c r="C78" s="44"/>
      <c r="D78" s="55"/>
      <c r="E78" s="55">
        <v>5000</v>
      </c>
      <c r="F78" s="24"/>
      <c r="G78" s="171"/>
      <c r="J78">
        <f>_xlfn.SINGLE(SUM(E77/900))</f>
        <v>7</v>
      </c>
    </row>
    <row r="79" spans="1:10" x14ac:dyDescent="0.2">
      <c r="A79" s="116">
        <v>5111</v>
      </c>
      <c r="B79" s="46" t="s">
        <v>65</v>
      </c>
      <c r="C79" s="47"/>
      <c r="D79" s="48"/>
      <c r="E79" s="48"/>
      <c r="F79" s="50">
        <f>SUM(E80)</f>
        <v>2000</v>
      </c>
      <c r="G79" s="172"/>
    </row>
    <row r="80" spans="1:10" x14ac:dyDescent="0.2">
      <c r="A80" s="116"/>
      <c r="B80" s="1" t="s">
        <v>18</v>
      </c>
      <c r="C80" s="44"/>
      <c r="D80" s="23"/>
      <c r="E80" s="23">
        <v>2000</v>
      </c>
      <c r="F80" s="53"/>
      <c r="G80" s="172"/>
    </row>
    <row r="81" spans="1:7" x14ac:dyDescent="0.2">
      <c r="A81" s="116">
        <v>5119</v>
      </c>
      <c r="B81" s="46" t="s">
        <v>66</v>
      </c>
      <c r="C81" s="101"/>
      <c r="D81" s="102"/>
      <c r="E81" s="102"/>
      <c r="F81" s="103">
        <f>SUM(E82:E84)</f>
        <v>4192.96</v>
      </c>
    </row>
    <row r="82" spans="1:7" ht="17" x14ac:dyDescent="0.2">
      <c r="A82" s="116"/>
      <c r="B82" s="4" t="s">
        <v>76</v>
      </c>
      <c r="C82" s="22">
        <v>2</v>
      </c>
      <c r="D82" s="60">
        <v>303.92</v>
      </c>
      <c r="E82" s="60">
        <f>SUM(C82*D82)</f>
        <v>607.84</v>
      </c>
      <c r="F82" s="61"/>
      <c r="G82" s="173" t="s">
        <v>121</v>
      </c>
    </row>
    <row r="83" spans="1:7" ht="17" x14ac:dyDescent="0.2">
      <c r="A83" s="116"/>
      <c r="B83" s="4" t="s">
        <v>19</v>
      </c>
      <c r="C83" s="22">
        <v>4</v>
      </c>
      <c r="D83" s="60">
        <v>652.28</v>
      </c>
      <c r="E83" s="60">
        <f>SUM(C83*D83)</f>
        <v>2609.12</v>
      </c>
      <c r="F83" s="61"/>
      <c r="G83" s="167" t="s">
        <v>120</v>
      </c>
    </row>
    <row r="84" spans="1:7" ht="17" thickBot="1" x14ac:dyDescent="0.25">
      <c r="A84" s="116"/>
      <c r="B84" s="62" t="s">
        <v>15</v>
      </c>
      <c r="C84" s="63">
        <v>4</v>
      </c>
      <c r="D84" s="64">
        <v>244</v>
      </c>
      <c r="E84" s="64">
        <f>SUM(C84*D84)</f>
        <v>976</v>
      </c>
      <c r="F84" s="65"/>
    </row>
    <row r="85" spans="1:7" x14ac:dyDescent="0.2">
      <c r="A85" s="116">
        <v>5113</v>
      </c>
      <c r="B85" s="56" t="s">
        <v>67</v>
      </c>
      <c r="C85" s="57"/>
      <c r="D85" s="58"/>
      <c r="E85" s="58"/>
      <c r="F85" s="59">
        <f>SUM(E86:E88)</f>
        <v>11846.96</v>
      </c>
      <c r="G85" s="171"/>
    </row>
    <row r="86" spans="1:7" ht="17" x14ac:dyDescent="0.2">
      <c r="A86" s="116">
        <v>5112</v>
      </c>
      <c r="B86" s="97" t="s">
        <v>70</v>
      </c>
      <c r="C86" s="98"/>
      <c r="E86" s="99">
        <v>10000</v>
      </c>
      <c r="F86" s="100"/>
      <c r="G86" s="171" t="s">
        <v>77</v>
      </c>
    </row>
    <row r="87" spans="1:7" x14ac:dyDescent="0.2">
      <c r="A87" s="116">
        <v>5114</v>
      </c>
      <c r="B87" s="54" t="s">
        <v>69</v>
      </c>
      <c r="C87" s="44"/>
      <c r="D87" s="55"/>
      <c r="E87" s="55">
        <v>0</v>
      </c>
      <c r="F87" s="24"/>
      <c r="G87" s="171"/>
    </row>
    <row r="88" spans="1:7" ht="17" x14ac:dyDescent="0.2">
      <c r="A88" s="116">
        <v>5115</v>
      </c>
      <c r="B88" s="54" t="s">
        <v>68</v>
      </c>
      <c r="C88" s="44">
        <v>8</v>
      </c>
      <c r="D88" s="55">
        <v>230.87</v>
      </c>
      <c r="E88" s="55">
        <f>SUM(C88*D88)</f>
        <v>1846.96</v>
      </c>
      <c r="F88" s="24"/>
      <c r="G88" s="171" t="s">
        <v>122</v>
      </c>
    </row>
    <row r="89" spans="1:7" x14ac:dyDescent="0.2">
      <c r="A89" s="116">
        <v>5117</v>
      </c>
      <c r="B89" s="56" t="s">
        <v>71</v>
      </c>
      <c r="C89" s="47"/>
      <c r="D89" s="58"/>
      <c r="E89" s="58"/>
      <c r="F89" s="50">
        <f>SUM(E90)</f>
        <v>5000</v>
      </c>
      <c r="G89" s="171"/>
    </row>
    <row r="90" spans="1:7" x14ac:dyDescent="0.2">
      <c r="A90" s="116"/>
      <c r="B90" s="91" t="s">
        <v>25</v>
      </c>
      <c r="C90" s="22"/>
      <c r="D90" s="60"/>
      <c r="E90" s="92">
        <v>5000</v>
      </c>
      <c r="F90" s="61"/>
      <c r="G90" s="171"/>
    </row>
    <row r="91" spans="1:7" x14ac:dyDescent="0.2">
      <c r="A91" s="116">
        <v>5118</v>
      </c>
      <c r="B91" s="46" t="s">
        <v>72</v>
      </c>
      <c r="C91" s="47"/>
      <c r="D91" s="48"/>
      <c r="E91" s="49"/>
      <c r="F91" s="50">
        <f>SUM(E92:E92)</f>
        <v>6000</v>
      </c>
      <c r="G91" s="171"/>
    </row>
    <row r="92" spans="1:7" x14ac:dyDescent="0.2">
      <c r="A92" s="116"/>
      <c r="B92" s="93" t="s">
        <v>51</v>
      </c>
      <c r="C92" s="94"/>
      <c r="D92" s="95"/>
      <c r="E92" s="95">
        <v>6000</v>
      </c>
      <c r="F92" s="96"/>
      <c r="G92" s="171"/>
    </row>
    <row r="93" spans="1:7" x14ac:dyDescent="0.2">
      <c r="A93" s="116">
        <v>5120</v>
      </c>
      <c r="B93" s="46" t="s">
        <v>327</v>
      </c>
      <c r="C93" s="47"/>
      <c r="D93" s="48"/>
      <c r="E93" s="48"/>
      <c r="F93" s="50">
        <f>SUM(E94:E98)</f>
        <v>2792.61</v>
      </c>
      <c r="G93" s="172"/>
    </row>
    <row r="94" spans="1:7" x14ac:dyDescent="0.2">
      <c r="A94" s="116">
        <v>5107</v>
      </c>
      <c r="B94" s="1" t="s">
        <v>74</v>
      </c>
      <c r="C94" s="44"/>
      <c r="D94" s="23"/>
      <c r="E94" s="23">
        <v>100</v>
      </c>
      <c r="F94" s="53"/>
      <c r="G94" s="172"/>
    </row>
    <row r="95" spans="1:7" x14ac:dyDescent="0.2">
      <c r="A95" s="116">
        <v>5121</v>
      </c>
      <c r="B95" s="43" t="s">
        <v>73</v>
      </c>
      <c r="C95" s="44"/>
      <c r="D95" s="23"/>
      <c r="E95" s="23">
        <v>1000</v>
      </c>
      <c r="F95" s="24"/>
      <c r="G95" s="145"/>
    </row>
    <row r="96" spans="1:7" x14ac:dyDescent="0.2">
      <c r="A96" s="116">
        <v>5122</v>
      </c>
      <c r="B96" s="1" t="s">
        <v>45</v>
      </c>
      <c r="C96" s="44"/>
      <c r="D96" s="23"/>
      <c r="E96" s="23">
        <v>0</v>
      </c>
      <c r="F96" s="53"/>
    </row>
    <row r="97" spans="1:9" x14ac:dyDescent="0.2">
      <c r="A97" s="116"/>
      <c r="B97" s="1" t="s">
        <v>78</v>
      </c>
      <c r="C97" s="44"/>
      <c r="D97" s="23"/>
      <c r="E97" s="23">
        <v>1000</v>
      </c>
      <c r="F97" s="53"/>
      <c r="G97" s="145"/>
    </row>
    <row r="98" spans="1:9" ht="17" x14ac:dyDescent="0.2">
      <c r="A98" s="116"/>
      <c r="B98" s="1" t="s">
        <v>79</v>
      </c>
      <c r="C98" s="44">
        <v>1</v>
      </c>
      <c r="D98" s="23">
        <f>SUM(230.87*3)</f>
        <v>692.61</v>
      </c>
      <c r="E98" s="23">
        <f>SUM(C98*D98)</f>
        <v>692.61</v>
      </c>
      <c r="F98" s="53"/>
      <c r="G98" s="145" t="s">
        <v>123</v>
      </c>
    </row>
    <row r="99" spans="1:9" x14ac:dyDescent="0.2">
      <c r="A99" s="116">
        <v>5125</v>
      </c>
      <c r="B99" s="56" t="s">
        <v>75</v>
      </c>
      <c r="C99" s="47"/>
      <c r="D99" s="58"/>
      <c r="E99" s="58"/>
      <c r="F99" s="50">
        <f>SUM(E100)</f>
        <v>1500</v>
      </c>
      <c r="G99" s="171"/>
    </row>
    <row r="100" spans="1:9" x14ac:dyDescent="0.2">
      <c r="A100" s="116"/>
      <c r="B100" s="91" t="s">
        <v>46</v>
      </c>
      <c r="C100" s="22"/>
      <c r="D100" s="60"/>
      <c r="E100" s="92">
        <v>1500</v>
      </c>
      <c r="F100" s="61"/>
      <c r="G100" s="171"/>
    </row>
    <row r="101" spans="1:9" x14ac:dyDescent="0.2">
      <c r="A101" s="116">
        <v>5130</v>
      </c>
      <c r="B101" s="56" t="s">
        <v>47</v>
      </c>
      <c r="C101" s="47"/>
      <c r="D101" s="58"/>
      <c r="E101" s="58"/>
      <c r="F101" s="50">
        <f>SUM(E102)</f>
        <v>4300</v>
      </c>
      <c r="G101" s="171"/>
    </row>
    <row r="102" spans="1:9" x14ac:dyDescent="0.2">
      <c r="A102" s="116"/>
      <c r="B102" s="91" t="s">
        <v>48</v>
      </c>
      <c r="C102" s="22"/>
      <c r="D102" s="60"/>
      <c r="E102" s="92">
        <v>4300</v>
      </c>
      <c r="F102" s="61"/>
      <c r="G102" s="171"/>
    </row>
    <row r="103" spans="1:9" x14ac:dyDescent="0.2">
      <c r="A103" s="116">
        <v>5135</v>
      </c>
      <c r="B103" s="56" t="s">
        <v>99</v>
      </c>
      <c r="C103" s="47"/>
      <c r="D103" s="58"/>
      <c r="E103" s="58"/>
      <c r="F103" s="50">
        <f>SUM(E104)</f>
        <v>3850</v>
      </c>
      <c r="G103" s="171"/>
    </row>
    <row r="104" spans="1:9" ht="17" thickBot="1" x14ac:dyDescent="0.25">
      <c r="A104" s="116"/>
      <c r="B104" s="91" t="s">
        <v>48</v>
      </c>
      <c r="C104" s="22"/>
      <c r="D104" s="60"/>
      <c r="E104" s="92">
        <v>3850</v>
      </c>
      <c r="F104" s="61"/>
      <c r="G104" s="171"/>
    </row>
    <row r="105" spans="1:9" x14ac:dyDescent="0.2">
      <c r="A105" s="116"/>
      <c r="B105" s="66" t="s">
        <v>20</v>
      </c>
      <c r="C105" s="67"/>
      <c r="D105" s="68"/>
      <c r="E105" s="68"/>
      <c r="F105" s="69">
        <f>SUM(F41:F104)</f>
        <v>186475.02999999997</v>
      </c>
    </row>
    <row r="106" spans="1:9" x14ac:dyDescent="0.2">
      <c r="A106" s="116"/>
      <c r="B106" s="70" t="s">
        <v>9</v>
      </c>
      <c r="C106" s="71"/>
      <c r="D106" s="72"/>
      <c r="E106" s="72"/>
      <c r="F106" s="73">
        <f>SUM(F38)</f>
        <v>219965</v>
      </c>
    </row>
    <row r="107" spans="1:9" ht="17" thickBot="1" x14ac:dyDescent="0.25">
      <c r="A107" s="116"/>
      <c r="B107" s="74" t="s">
        <v>21</v>
      </c>
      <c r="C107" s="75"/>
      <c r="D107" s="72"/>
      <c r="E107" s="72"/>
      <c r="F107" s="73">
        <f>F106-F105</f>
        <v>33489.97000000003</v>
      </c>
      <c r="G107" s="168"/>
    </row>
    <row r="108" spans="1:9" ht="17" thickBot="1" x14ac:dyDescent="0.25">
      <c r="A108" s="116"/>
      <c r="B108" s="76" t="s">
        <v>23</v>
      </c>
      <c r="C108" s="77"/>
      <c r="D108" s="78"/>
      <c r="E108" s="78"/>
      <c r="F108" s="79"/>
    </row>
    <row r="109" spans="1:9" x14ac:dyDescent="0.2">
      <c r="A109" s="116"/>
    </row>
    <row r="110" spans="1:9" x14ac:dyDescent="0.2">
      <c r="A110" s="116"/>
      <c r="D110" s="80"/>
      <c r="E110" s="80"/>
      <c r="F110" s="80"/>
    </row>
    <row r="111" spans="1:9" s="146" customFormat="1" x14ac:dyDescent="0.2">
      <c r="B111" s="147"/>
      <c r="C111" s="148"/>
      <c r="D111" s="148"/>
      <c r="E111" s="149"/>
      <c r="F111" s="150"/>
      <c r="G111" s="175"/>
      <c r="H111" s="80"/>
      <c r="I111" s="151"/>
    </row>
    <row r="112" spans="1:9" ht="19" x14ac:dyDescent="0.35">
      <c r="B112" s="142"/>
      <c r="C112" s="152" t="s">
        <v>103</v>
      </c>
      <c r="D112"/>
      <c r="E112"/>
      <c r="F112"/>
      <c r="G112" s="176"/>
    </row>
    <row r="113" spans="1:7" ht="17" thickBot="1" x14ac:dyDescent="0.25">
      <c r="B113" s="142"/>
      <c r="C113" s="117"/>
      <c r="D113"/>
      <c r="E113"/>
      <c r="F113"/>
      <c r="G113" s="176"/>
    </row>
    <row r="114" spans="1:7" ht="17" thickBot="1" x14ac:dyDescent="0.25">
      <c r="B114" s="153" t="s">
        <v>104</v>
      </c>
      <c r="C114" s="154">
        <f>_xlfn.SINGLE(SUM(F107/F106))</f>
        <v>0.15225135817061819</v>
      </c>
      <c r="D114"/>
      <c r="E114"/>
      <c r="F114"/>
      <c r="G114" s="176"/>
    </row>
    <row r="115" spans="1:7" x14ac:dyDescent="0.2">
      <c r="B115" s="153" t="s">
        <v>105</v>
      </c>
      <c r="C115" s="155">
        <f>_xlfn.SINGLE(SUM(F105/193))</f>
        <v>966.19186528497391</v>
      </c>
      <c r="D115"/>
      <c r="E115"/>
      <c r="F115"/>
      <c r="G115" s="176"/>
    </row>
    <row r="116" spans="1:7" x14ac:dyDescent="0.2">
      <c r="B116" s="153" t="s">
        <v>106</v>
      </c>
      <c r="C116" s="156">
        <f>_xlfn.SINGLE(SUM(E51/D32))</f>
        <v>72</v>
      </c>
      <c r="D116"/>
      <c r="E116"/>
      <c r="F116"/>
      <c r="G116" s="176"/>
    </row>
    <row r="117" spans="1:7" x14ac:dyDescent="0.2">
      <c r="B117" s="153"/>
      <c r="C117"/>
      <c r="D117"/>
      <c r="E117"/>
      <c r="F117"/>
      <c r="G117" s="176"/>
    </row>
    <row r="118" spans="1:7" x14ac:dyDescent="0.2">
      <c r="B118"/>
      <c r="C118"/>
      <c r="D118"/>
      <c r="E118"/>
      <c r="F118"/>
      <c r="G118"/>
    </row>
    <row r="119" spans="1:7" x14ac:dyDescent="0.2">
      <c r="A119" s="116"/>
      <c r="B119"/>
      <c r="C119"/>
      <c r="D119"/>
      <c r="E119"/>
      <c r="F119"/>
      <c r="G119"/>
    </row>
    <row r="120" spans="1:7" x14ac:dyDescent="0.2">
      <c r="A120" s="157"/>
      <c r="B120"/>
      <c r="C120"/>
      <c r="D120"/>
      <c r="E120"/>
      <c r="F120"/>
      <c r="G120"/>
    </row>
    <row r="121" spans="1:7" x14ac:dyDescent="0.2">
      <c r="A121" s="157"/>
      <c r="B121"/>
      <c r="C121"/>
      <c r="D121"/>
      <c r="E121"/>
      <c r="F121"/>
      <c r="G121"/>
    </row>
    <row r="122" spans="1:7" x14ac:dyDescent="0.2">
      <c r="B122"/>
      <c r="C122"/>
      <c r="D122"/>
      <c r="E122"/>
      <c r="F122"/>
      <c r="G122"/>
    </row>
    <row r="123" spans="1:7" x14ac:dyDescent="0.2">
      <c r="B123"/>
      <c r="C123"/>
      <c r="D123"/>
      <c r="E123"/>
      <c r="F123"/>
      <c r="G123"/>
    </row>
    <row r="124" spans="1:7" x14ac:dyDescent="0.2">
      <c r="B124"/>
      <c r="C124"/>
      <c r="D124"/>
      <c r="E124"/>
      <c r="F124"/>
      <c r="G124"/>
    </row>
    <row r="125" spans="1:7" x14ac:dyDescent="0.2">
      <c r="B125"/>
      <c r="C125"/>
      <c r="D125"/>
      <c r="E125"/>
      <c r="F125"/>
      <c r="G125"/>
    </row>
    <row r="126" spans="1:7" x14ac:dyDescent="0.2">
      <c r="B126"/>
      <c r="C126"/>
      <c r="D126"/>
      <c r="E126"/>
      <c r="F126"/>
      <c r="G126"/>
    </row>
    <row r="127" spans="1:7" x14ac:dyDescent="0.2">
      <c r="B127"/>
      <c r="C127"/>
      <c r="D127"/>
      <c r="E127"/>
      <c r="F127"/>
      <c r="G127"/>
    </row>
    <row r="128" spans="1:7" x14ac:dyDescent="0.2">
      <c r="B128"/>
      <c r="C128"/>
      <c r="D128"/>
      <c r="E128"/>
      <c r="F128"/>
      <c r="G128"/>
    </row>
    <row r="129" spans="2:7" x14ac:dyDescent="0.2">
      <c r="B129"/>
      <c r="C129"/>
      <c r="D129"/>
      <c r="E129"/>
      <c r="F129"/>
      <c r="G129"/>
    </row>
    <row r="130" spans="2:7" x14ac:dyDescent="0.2">
      <c r="B130"/>
      <c r="C130"/>
      <c r="D130"/>
      <c r="E130"/>
      <c r="F130"/>
      <c r="G130"/>
    </row>
    <row r="131" spans="2:7" x14ac:dyDescent="0.2">
      <c r="B131"/>
      <c r="C131"/>
      <c r="D131"/>
      <c r="E131"/>
      <c r="F131"/>
      <c r="G131"/>
    </row>
    <row r="132" spans="2:7" x14ac:dyDescent="0.2">
      <c r="B132"/>
      <c r="C132"/>
      <c r="D132"/>
      <c r="E132"/>
      <c r="F132"/>
      <c r="G132"/>
    </row>
    <row r="133" spans="2:7" x14ac:dyDescent="0.2">
      <c r="B133"/>
      <c r="C133"/>
      <c r="D133"/>
      <c r="E133"/>
      <c r="F133"/>
      <c r="G133"/>
    </row>
    <row r="134" spans="2:7" x14ac:dyDescent="0.2">
      <c r="B134"/>
      <c r="C134"/>
      <c r="D134"/>
      <c r="E134"/>
      <c r="F134"/>
      <c r="G134"/>
    </row>
    <row r="135" spans="2:7" x14ac:dyDescent="0.2">
      <c r="B135"/>
      <c r="C135"/>
      <c r="D135"/>
      <c r="E135"/>
      <c r="F135"/>
      <c r="G135"/>
    </row>
    <row r="136" spans="2:7" x14ac:dyDescent="0.2">
      <c r="B136"/>
      <c r="C136"/>
      <c r="D136"/>
      <c r="E136"/>
      <c r="F136"/>
      <c r="G136"/>
    </row>
    <row r="137" spans="2:7" x14ac:dyDescent="0.2">
      <c r="B137"/>
      <c r="C137"/>
      <c r="D137"/>
      <c r="E137"/>
      <c r="F137"/>
      <c r="G137"/>
    </row>
    <row r="138" spans="2:7" x14ac:dyDescent="0.2">
      <c r="B138"/>
      <c r="C138"/>
      <c r="D138"/>
      <c r="E138"/>
      <c r="F138"/>
      <c r="G138"/>
    </row>
    <row r="139" spans="2:7" x14ac:dyDescent="0.2">
      <c r="B139"/>
      <c r="C139"/>
      <c r="D139"/>
      <c r="E139"/>
      <c r="F139"/>
      <c r="G139"/>
    </row>
    <row r="140" spans="2:7" x14ac:dyDescent="0.2">
      <c r="B140"/>
      <c r="C140"/>
      <c r="D140"/>
      <c r="E140"/>
      <c r="F140"/>
      <c r="G140"/>
    </row>
    <row r="141" spans="2:7" x14ac:dyDescent="0.2">
      <c r="B141"/>
      <c r="C141"/>
      <c r="D141"/>
      <c r="E141"/>
      <c r="F141"/>
      <c r="G141"/>
    </row>
    <row r="142" spans="2:7" x14ac:dyDescent="0.2">
      <c r="B142"/>
      <c r="C142"/>
      <c r="D142"/>
      <c r="E142"/>
      <c r="F142"/>
      <c r="G142"/>
    </row>
    <row r="143" spans="2:7" x14ac:dyDescent="0.2">
      <c r="B143"/>
      <c r="C143"/>
      <c r="D143"/>
      <c r="E143"/>
      <c r="F143"/>
      <c r="G143"/>
    </row>
    <row r="144" spans="2:7" x14ac:dyDescent="0.2">
      <c r="B144"/>
      <c r="C144"/>
      <c r="D144"/>
      <c r="E144"/>
      <c r="F144"/>
      <c r="G144"/>
    </row>
    <row r="145" spans="2:9" x14ac:dyDescent="0.2">
      <c r="B145"/>
      <c r="C145"/>
      <c r="D145"/>
      <c r="E145"/>
      <c r="F145"/>
      <c r="G145"/>
    </row>
    <row r="146" spans="2:9" s="146" customFormat="1" x14ac:dyDescent="0.2"/>
    <row r="147" spans="2:9" s="146" customFormat="1" x14ac:dyDescent="0.2">
      <c r="B147" s="147"/>
      <c r="C147" s="148"/>
      <c r="D147" s="148"/>
      <c r="E147" s="158"/>
      <c r="F147" s="159"/>
      <c r="G147" s="177"/>
      <c r="H147" s="160"/>
      <c r="I147" s="151"/>
    </row>
    <row r="148" spans="2:9" s="146" customFormat="1" x14ac:dyDescent="0.2">
      <c r="B148" s="147"/>
      <c r="C148" s="148"/>
      <c r="D148" s="148"/>
      <c r="E148" s="158"/>
      <c r="F148" s="159"/>
      <c r="G148" s="177"/>
      <c r="H148" s="160"/>
      <c r="I148" s="151"/>
    </row>
    <row r="149" spans="2:9" s="146" customFormat="1" x14ac:dyDescent="0.2">
      <c r="B149" s="147"/>
      <c r="C149" s="148"/>
      <c r="D149" s="148"/>
      <c r="E149" s="158"/>
      <c r="F149" s="159"/>
      <c r="G149" s="177"/>
      <c r="H149" s="160"/>
      <c r="I149" s="151"/>
    </row>
    <row r="150" spans="2:9" s="146" customFormat="1" x14ac:dyDescent="0.2">
      <c r="B150" s="147"/>
      <c r="C150" s="148"/>
      <c r="D150" s="148"/>
      <c r="E150" s="158"/>
      <c r="F150" s="159"/>
      <c r="G150" s="177"/>
      <c r="H150" s="160"/>
      <c r="I150" s="151"/>
    </row>
    <row r="151" spans="2:9" s="146" customFormat="1" x14ac:dyDescent="0.2">
      <c r="B151" s="147"/>
      <c r="C151" s="148"/>
      <c r="D151" s="148"/>
      <c r="E151" s="158"/>
      <c r="F151" s="159"/>
      <c r="G151" s="177"/>
      <c r="H151" s="160"/>
      <c r="I151" s="151"/>
    </row>
    <row r="152" spans="2:9" s="146" customFormat="1" x14ac:dyDescent="0.2">
      <c r="B152" s="147"/>
      <c r="C152" s="148"/>
      <c r="D152" s="148"/>
      <c r="E152" s="158"/>
      <c r="F152" s="159"/>
      <c r="G152" s="177"/>
      <c r="H152" s="160"/>
      <c r="I152" s="151"/>
    </row>
    <row r="153" spans="2:9" s="146" customFormat="1" x14ac:dyDescent="0.2">
      <c r="B153" s="147"/>
      <c r="C153" s="148"/>
      <c r="D153" s="148"/>
      <c r="E153" s="158"/>
      <c r="F153" s="159"/>
      <c r="G153" s="177"/>
      <c r="H153" s="160"/>
      <c r="I153" s="151"/>
    </row>
    <row r="154" spans="2:9" s="146" customFormat="1" x14ac:dyDescent="0.2">
      <c r="B154" s="147"/>
      <c r="C154" s="148"/>
      <c r="D154" s="148"/>
      <c r="E154" s="158"/>
      <c r="F154" s="159"/>
      <c r="G154" s="177"/>
      <c r="H154" s="160"/>
      <c r="I154" s="151"/>
    </row>
    <row r="155" spans="2:9" s="146" customFormat="1" x14ac:dyDescent="0.2">
      <c r="B155" s="147"/>
      <c r="C155" s="148"/>
      <c r="D155" s="148"/>
      <c r="E155" s="158"/>
      <c r="F155" s="159"/>
      <c r="G155" s="177"/>
      <c r="H155" s="160"/>
      <c r="I155" s="151"/>
    </row>
    <row r="156" spans="2:9" s="146" customFormat="1" x14ac:dyDescent="0.2">
      <c r="B156" s="147"/>
      <c r="C156" s="148"/>
      <c r="D156" s="148"/>
      <c r="E156" s="158"/>
      <c r="F156" s="159"/>
      <c r="G156" s="177"/>
      <c r="H156" s="160"/>
      <c r="I156" s="151"/>
    </row>
    <row r="157" spans="2:9" s="146" customFormat="1" x14ac:dyDescent="0.2">
      <c r="B157" s="147"/>
      <c r="C157" s="148"/>
      <c r="D157" s="148"/>
      <c r="E157" s="158"/>
      <c r="F157" s="159"/>
      <c r="G157" s="177"/>
      <c r="H157" s="160"/>
      <c r="I157" s="151"/>
    </row>
    <row r="158" spans="2:9" s="146" customFormat="1" x14ac:dyDescent="0.2">
      <c r="B158" s="147"/>
      <c r="C158" s="148"/>
      <c r="D158" s="148"/>
      <c r="E158" s="158"/>
      <c r="F158" s="159"/>
      <c r="G158" s="177"/>
      <c r="H158" s="160"/>
      <c r="I158" s="151"/>
    </row>
    <row r="159" spans="2:9" s="146" customFormat="1" x14ac:dyDescent="0.2">
      <c r="B159" s="147"/>
      <c r="C159" s="148"/>
      <c r="D159" s="148"/>
      <c r="E159" s="158"/>
      <c r="F159" s="159"/>
      <c r="G159" s="177"/>
      <c r="H159" s="160"/>
      <c r="I159" s="151"/>
    </row>
    <row r="160" spans="2:9" s="146" customFormat="1" x14ac:dyDescent="0.2">
      <c r="B160" s="147"/>
      <c r="C160" s="148"/>
      <c r="D160" s="148"/>
      <c r="E160" s="158"/>
      <c r="F160" s="159"/>
      <c r="G160" s="177"/>
      <c r="H160" s="160"/>
      <c r="I160" s="151"/>
    </row>
    <row r="161" spans="2:9" s="146" customFormat="1" x14ac:dyDescent="0.2">
      <c r="B161" s="147"/>
      <c r="C161" s="148"/>
      <c r="D161" s="148"/>
      <c r="E161" s="158"/>
      <c r="F161" s="159"/>
      <c r="G161" s="177"/>
      <c r="H161" s="160"/>
      <c r="I161" s="151"/>
    </row>
    <row r="162" spans="2:9" s="146" customFormat="1" x14ac:dyDescent="0.2">
      <c r="B162" s="147"/>
      <c r="C162" s="148"/>
      <c r="D162" s="148"/>
      <c r="E162" s="158"/>
      <c r="F162" s="159"/>
      <c r="G162" s="177"/>
      <c r="H162" s="160"/>
      <c r="I162" s="151"/>
    </row>
    <row r="163" spans="2:9" s="146" customFormat="1" x14ac:dyDescent="0.2">
      <c r="B163" s="147"/>
      <c r="C163" s="148"/>
      <c r="D163" s="148"/>
      <c r="E163" s="158"/>
      <c r="F163" s="159"/>
      <c r="G163" s="177"/>
      <c r="H163" s="160"/>
      <c r="I163" s="151"/>
    </row>
    <row r="164" spans="2:9" s="146" customFormat="1" x14ac:dyDescent="0.2">
      <c r="B164" s="147"/>
      <c r="C164" s="148"/>
      <c r="D164" s="148"/>
      <c r="E164" s="158"/>
      <c r="F164" s="159"/>
      <c r="G164" s="177"/>
      <c r="H164" s="160"/>
      <c r="I164" s="151"/>
    </row>
    <row r="165" spans="2:9" s="146" customFormat="1" x14ac:dyDescent="0.2">
      <c r="B165" s="147"/>
      <c r="C165" s="148"/>
      <c r="D165" s="148"/>
      <c r="E165" s="158"/>
      <c r="F165" s="159"/>
      <c r="G165" s="177"/>
      <c r="H165" s="160"/>
      <c r="I165" s="151"/>
    </row>
    <row r="166" spans="2:9" s="146" customFormat="1" x14ac:dyDescent="0.2">
      <c r="B166" s="147"/>
      <c r="C166" s="148"/>
      <c r="D166" s="148"/>
      <c r="E166" s="158"/>
      <c r="F166" s="159"/>
      <c r="G166" s="177"/>
      <c r="H166" s="160"/>
      <c r="I166" s="151"/>
    </row>
    <row r="167" spans="2:9" s="146" customFormat="1" x14ac:dyDescent="0.2">
      <c r="B167" s="147"/>
      <c r="C167" s="148"/>
      <c r="D167" s="148"/>
      <c r="E167" s="158"/>
      <c r="F167" s="159"/>
      <c r="G167" s="177"/>
      <c r="H167" s="160"/>
      <c r="I167" s="151"/>
    </row>
    <row r="168" spans="2:9" s="146" customFormat="1" x14ac:dyDescent="0.2">
      <c r="B168" s="147"/>
      <c r="C168" s="148"/>
      <c r="D168" s="148"/>
      <c r="E168" s="158"/>
      <c r="F168" s="159"/>
      <c r="G168" s="177"/>
      <c r="H168" s="160"/>
      <c r="I168" s="151"/>
    </row>
    <row r="169" spans="2:9" s="146" customFormat="1" x14ac:dyDescent="0.2">
      <c r="B169" s="147"/>
      <c r="C169" s="148"/>
      <c r="D169" s="148"/>
      <c r="E169" s="158"/>
      <c r="F169" s="159"/>
      <c r="G169" s="177"/>
      <c r="H169" s="160"/>
      <c r="I169" s="151"/>
    </row>
    <row r="170" spans="2:9" s="146" customFormat="1" x14ac:dyDescent="0.2">
      <c r="B170" s="147"/>
      <c r="C170" s="148"/>
      <c r="D170" s="148"/>
      <c r="E170" s="158"/>
      <c r="F170" s="159"/>
      <c r="G170" s="177"/>
      <c r="H170" s="160"/>
      <c r="I170" s="151"/>
    </row>
    <row r="171" spans="2:9" s="146" customFormat="1" x14ac:dyDescent="0.2">
      <c r="B171" s="147"/>
      <c r="C171" s="148"/>
      <c r="D171" s="148"/>
      <c r="E171" s="158"/>
      <c r="F171" s="159"/>
      <c r="G171" s="177"/>
      <c r="H171" s="160"/>
      <c r="I171" s="151"/>
    </row>
    <row r="172" spans="2:9" s="146" customFormat="1" x14ac:dyDescent="0.2">
      <c r="B172" s="147"/>
      <c r="C172" s="148"/>
      <c r="D172" s="148"/>
      <c r="E172" s="158"/>
      <c r="F172" s="159"/>
      <c r="G172" s="177"/>
      <c r="H172" s="160"/>
      <c r="I172" s="151"/>
    </row>
    <row r="173" spans="2:9" s="146" customFormat="1" x14ac:dyDescent="0.2">
      <c r="B173" s="147"/>
      <c r="C173" s="148"/>
      <c r="D173" s="148"/>
      <c r="E173" s="158"/>
      <c r="F173" s="159"/>
      <c r="G173" s="177"/>
      <c r="H173" s="160"/>
      <c r="I173" s="151"/>
    </row>
    <row r="174" spans="2:9" s="146" customFormat="1" x14ac:dyDescent="0.2">
      <c r="B174" s="147"/>
      <c r="C174" s="148"/>
      <c r="D174" s="148"/>
      <c r="E174" s="158"/>
      <c r="F174" s="159"/>
      <c r="G174" s="177"/>
      <c r="H174" s="160"/>
      <c r="I174" s="151"/>
    </row>
    <row r="175" spans="2:9" s="146" customFormat="1" x14ac:dyDescent="0.2">
      <c r="B175" s="147"/>
      <c r="C175" s="148"/>
      <c r="D175" s="148"/>
      <c r="E175" s="158"/>
      <c r="F175" s="159"/>
      <c r="G175" s="177"/>
      <c r="H175" s="160"/>
      <c r="I175" s="151"/>
    </row>
    <row r="176" spans="2:9" s="146" customFormat="1" x14ac:dyDescent="0.2">
      <c r="B176" s="147"/>
      <c r="C176" s="148"/>
      <c r="D176" s="148"/>
      <c r="E176" s="158"/>
      <c r="F176" s="159"/>
      <c r="G176" s="177"/>
      <c r="H176" s="160"/>
      <c r="I176" s="151"/>
    </row>
    <row r="177" spans="2:9" s="146" customFormat="1" x14ac:dyDescent="0.2">
      <c r="B177" s="147"/>
      <c r="C177" s="148"/>
      <c r="D177" s="148"/>
      <c r="E177" s="158"/>
      <c r="F177" s="159"/>
      <c r="G177" s="177"/>
      <c r="H177" s="160"/>
      <c r="I177" s="151"/>
    </row>
    <row r="178" spans="2:9" s="146" customFormat="1" x14ac:dyDescent="0.2">
      <c r="B178" s="147"/>
      <c r="C178" s="148"/>
      <c r="D178" s="148"/>
      <c r="E178" s="158"/>
      <c r="F178" s="159"/>
      <c r="G178" s="177"/>
      <c r="H178" s="160"/>
      <c r="I178" s="151"/>
    </row>
    <row r="179" spans="2:9" s="146" customFormat="1" x14ac:dyDescent="0.2">
      <c r="B179" s="147"/>
      <c r="C179" s="148"/>
      <c r="D179" s="148"/>
      <c r="E179" s="158"/>
      <c r="F179" s="159"/>
      <c r="G179" s="177"/>
      <c r="H179" s="160"/>
      <c r="I179" s="151"/>
    </row>
    <row r="180" spans="2:9" s="146" customFormat="1" x14ac:dyDescent="0.2">
      <c r="B180" s="147"/>
      <c r="C180" s="148"/>
      <c r="D180" s="148"/>
      <c r="E180" s="158"/>
      <c r="F180" s="159"/>
      <c r="G180" s="177"/>
      <c r="H180" s="160"/>
      <c r="I180" s="151"/>
    </row>
    <row r="181" spans="2:9" s="146" customFormat="1" x14ac:dyDescent="0.2">
      <c r="B181" s="147"/>
      <c r="C181" s="148"/>
      <c r="D181" s="148"/>
      <c r="E181" s="158"/>
      <c r="F181" s="159"/>
      <c r="G181" s="177"/>
      <c r="H181" s="161"/>
      <c r="I181" s="151"/>
    </row>
    <row r="182" spans="2:9" s="146" customFormat="1" x14ac:dyDescent="0.2">
      <c r="B182" s="147"/>
      <c r="C182" s="148"/>
      <c r="D182" s="148"/>
      <c r="E182" s="158"/>
      <c r="F182" s="159"/>
      <c r="G182" s="177"/>
      <c r="H182" s="161"/>
      <c r="I182" s="151"/>
    </row>
    <row r="183" spans="2:9" s="146" customFormat="1" x14ac:dyDescent="0.2">
      <c r="B183" s="147"/>
      <c r="C183" s="148"/>
      <c r="D183" s="148"/>
      <c r="E183" s="158"/>
      <c r="F183" s="159"/>
      <c r="G183" s="177"/>
      <c r="H183" s="161"/>
      <c r="I183" s="151"/>
    </row>
    <row r="184" spans="2:9" s="146" customFormat="1" x14ac:dyDescent="0.2">
      <c r="B184" s="147"/>
      <c r="C184" s="148"/>
      <c r="D184" s="148"/>
      <c r="E184" s="158"/>
      <c r="F184" s="159"/>
      <c r="G184" s="177"/>
      <c r="H184" s="161"/>
      <c r="I184" s="151"/>
    </row>
    <row r="185" spans="2:9" s="146" customFormat="1" x14ac:dyDescent="0.2">
      <c r="B185" s="147"/>
      <c r="C185" s="148"/>
      <c r="D185" s="148"/>
      <c r="E185" s="158"/>
      <c r="F185" s="159"/>
      <c r="G185" s="177"/>
      <c r="H185" s="161"/>
      <c r="I185" s="151"/>
    </row>
    <row r="186" spans="2:9" s="146" customFormat="1" x14ac:dyDescent="0.2">
      <c r="B186" s="147"/>
      <c r="C186" s="148"/>
      <c r="D186" s="148"/>
      <c r="E186" s="158"/>
      <c r="F186" s="159"/>
      <c r="G186" s="177"/>
      <c r="H186" s="161"/>
      <c r="I186" s="151"/>
    </row>
    <row r="187" spans="2:9" s="146" customFormat="1" x14ac:dyDescent="0.2">
      <c r="B187" s="147"/>
      <c r="C187" s="148"/>
      <c r="D187" s="148"/>
      <c r="E187" s="158"/>
      <c r="F187" s="159"/>
      <c r="G187" s="177"/>
      <c r="H187" s="161"/>
      <c r="I187" s="151"/>
    </row>
    <row r="188" spans="2:9" s="146" customFormat="1" x14ac:dyDescent="0.2">
      <c r="B188" s="147"/>
      <c r="C188" s="148"/>
      <c r="D188" s="148"/>
      <c r="E188" s="158"/>
      <c r="F188" s="159"/>
      <c r="G188" s="177"/>
      <c r="H188" s="161"/>
      <c r="I188" s="151"/>
    </row>
    <row r="189" spans="2:9" s="146" customFormat="1" x14ac:dyDescent="0.2">
      <c r="B189" s="147"/>
      <c r="C189" s="148"/>
      <c r="D189" s="148"/>
      <c r="E189" s="158"/>
      <c r="F189" s="159"/>
      <c r="G189" s="177"/>
      <c r="H189" s="161"/>
      <c r="I189" s="151"/>
    </row>
    <row r="190" spans="2:9" s="146" customFormat="1" x14ac:dyDescent="0.2">
      <c r="B190" s="147"/>
      <c r="C190" s="148"/>
      <c r="D190" s="148"/>
      <c r="E190" s="158"/>
      <c r="F190" s="159"/>
      <c r="G190" s="177"/>
      <c r="H190" s="161"/>
      <c r="I190" s="151"/>
    </row>
    <row r="191" spans="2:9" s="146" customFormat="1" x14ac:dyDescent="0.2">
      <c r="B191" s="147"/>
      <c r="C191" s="148"/>
      <c r="D191" s="148"/>
      <c r="E191" s="158"/>
      <c r="F191" s="159"/>
      <c r="G191" s="177"/>
      <c r="H191" s="161"/>
      <c r="I191" s="151"/>
    </row>
    <row r="192" spans="2:9" s="146" customFormat="1" x14ac:dyDescent="0.2">
      <c r="B192" s="147"/>
      <c r="C192" s="148"/>
      <c r="D192" s="148"/>
      <c r="E192" s="158"/>
      <c r="F192" s="159"/>
      <c r="G192" s="177"/>
      <c r="H192" s="161"/>
      <c r="I192" s="151"/>
    </row>
    <row r="193" spans="2:9" s="146" customFormat="1" x14ac:dyDescent="0.2">
      <c r="B193" s="147"/>
      <c r="C193" s="148"/>
      <c r="D193" s="148"/>
      <c r="E193" s="158"/>
      <c r="F193" s="159"/>
      <c r="G193" s="177"/>
      <c r="H193" s="161"/>
      <c r="I193" s="151"/>
    </row>
    <row r="194" spans="2:9" s="146" customFormat="1" x14ac:dyDescent="0.2">
      <c r="B194" s="147"/>
      <c r="C194" s="148"/>
      <c r="D194" s="148"/>
      <c r="E194" s="158"/>
      <c r="F194" s="159"/>
      <c r="G194" s="177"/>
      <c r="H194" s="161"/>
      <c r="I194" s="151"/>
    </row>
    <row r="195" spans="2:9" s="146" customFormat="1" x14ac:dyDescent="0.2">
      <c r="B195" s="147"/>
      <c r="C195" s="148"/>
      <c r="D195" s="148"/>
      <c r="E195" s="158"/>
      <c r="F195" s="159"/>
      <c r="G195" s="177"/>
      <c r="H195" s="161"/>
      <c r="I195" s="151"/>
    </row>
    <row r="196" spans="2:9" s="146" customFormat="1" x14ac:dyDescent="0.2">
      <c r="B196" s="147"/>
      <c r="C196" s="148"/>
      <c r="D196" s="148"/>
      <c r="E196" s="158"/>
      <c r="F196" s="159"/>
      <c r="G196" s="177"/>
      <c r="H196" s="161"/>
      <c r="I196" s="151"/>
    </row>
    <row r="197" spans="2:9" s="146" customFormat="1" x14ac:dyDescent="0.2">
      <c r="B197" s="147"/>
      <c r="C197" s="148"/>
      <c r="D197" s="148"/>
      <c r="E197" s="158"/>
      <c r="F197" s="159"/>
      <c r="G197" s="177"/>
      <c r="H197" s="161"/>
      <c r="I197" s="151"/>
    </row>
    <row r="198" spans="2:9" s="146" customFormat="1" x14ac:dyDescent="0.2">
      <c r="B198" s="147"/>
      <c r="C198" s="148"/>
      <c r="D198" s="148"/>
      <c r="E198" s="158"/>
      <c r="F198" s="159"/>
      <c r="G198" s="177"/>
      <c r="H198" s="161"/>
      <c r="I198" s="151"/>
    </row>
    <row r="199" spans="2:9" s="146" customFormat="1" x14ac:dyDescent="0.2">
      <c r="B199" s="147"/>
      <c r="C199" s="148"/>
      <c r="D199" s="148"/>
      <c r="E199" s="158"/>
      <c r="F199" s="159"/>
      <c r="G199" s="177"/>
      <c r="H199" s="161"/>
      <c r="I199" s="151"/>
    </row>
    <row r="200" spans="2:9" s="146" customFormat="1" x14ac:dyDescent="0.2">
      <c r="B200" s="147"/>
      <c r="C200" s="148"/>
      <c r="D200" s="148"/>
      <c r="E200" s="158"/>
      <c r="F200" s="159"/>
      <c r="G200" s="177"/>
      <c r="H200" s="161"/>
      <c r="I200" s="151"/>
    </row>
    <row r="201" spans="2:9" s="146" customFormat="1" x14ac:dyDescent="0.2">
      <c r="B201" s="147"/>
      <c r="C201" s="148"/>
      <c r="D201" s="148"/>
      <c r="E201" s="158"/>
      <c r="F201" s="159"/>
      <c r="G201" s="177"/>
      <c r="H201" s="161"/>
      <c r="I201" s="151"/>
    </row>
    <row r="202" spans="2:9" s="146" customFormat="1" x14ac:dyDescent="0.2">
      <c r="B202" s="147"/>
      <c r="C202" s="148"/>
      <c r="D202" s="148"/>
      <c r="E202" s="158"/>
      <c r="F202" s="159"/>
      <c r="G202" s="177"/>
      <c r="H202" s="161"/>
      <c r="I202" s="151"/>
    </row>
    <row r="203" spans="2:9" s="146" customFormat="1" x14ac:dyDescent="0.2">
      <c r="B203" s="147"/>
      <c r="C203" s="148"/>
      <c r="D203" s="148"/>
      <c r="E203" s="158"/>
      <c r="F203" s="159"/>
      <c r="G203" s="177"/>
      <c r="H203" s="161"/>
      <c r="I203" s="151"/>
    </row>
    <row r="204" spans="2:9" s="146" customFormat="1" x14ac:dyDescent="0.2">
      <c r="B204" s="147"/>
      <c r="C204" s="148"/>
      <c r="D204" s="148"/>
      <c r="E204" s="158"/>
      <c r="F204" s="159"/>
      <c r="G204" s="177"/>
      <c r="H204" s="161"/>
      <c r="I204" s="151"/>
    </row>
    <row r="205" spans="2:9" s="146" customFormat="1" x14ac:dyDescent="0.2">
      <c r="B205" s="147"/>
      <c r="C205" s="148"/>
      <c r="D205" s="148"/>
      <c r="E205" s="158"/>
      <c r="F205" s="159"/>
      <c r="G205" s="177"/>
      <c r="H205" s="161"/>
      <c r="I205" s="151"/>
    </row>
    <row r="206" spans="2:9" s="146" customFormat="1" x14ac:dyDescent="0.2">
      <c r="B206" s="147"/>
      <c r="C206" s="148"/>
      <c r="D206" s="148"/>
      <c r="E206" s="158"/>
      <c r="F206" s="159"/>
      <c r="G206" s="177"/>
      <c r="H206" s="161"/>
      <c r="I206" s="151"/>
    </row>
    <row r="207" spans="2:9" s="146" customFormat="1" x14ac:dyDescent="0.2">
      <c r="B207" s="147"/>
      <c r="C207" s="148"/>
      <c r="D207" s="148"/>
      <c r="E207" s="158"/>
      <c r="F207" s="159"/>
      <c r="G207" s="177"/>
      <c r="H207" s="161"/>
      <c r="I207" s="151"/>
    </row>
    <row r="208" spans="2:9" s="146" customFormat="1" x14ac:dyDescent="0.2">
      <c r="B208" s="147"/>
      <c r="C208" s="148"/>
      <c r="D208" s="148"/>
      <c r="E208" s="158"/>
      <c r="F208" s="159"/>
      <c r="G208" s="177"/>
      <c r="H208" s="161"/>
      <c r="I208" s="151"/>
    </row>
    <row r="209" spans="2:9" s="146" customFormat="1" x14ac:dyDescent="0.2">
      <c r="B209" s="147"/>
      <c r="C209" s="148"/>
      <c r="D209" s="148"/>
      <c r="E209" s="158"/>
      <c r="F209" s="159"/>
      <c r="G209" s="177"/>
      <c r="H209" s="161"/>
      <c r="I209" s="151"/>
    </row>
    <row r="210" spans="2:9" s="146" customFormat="1" x14ac:dyDescent="0.2">
      <c r="B210" s="147"/>
      <c r="C210" s="148"/>
      <c r="D210" s="148"/>
      <c r="E210" s="158"/>
      <c r="F210" s="159"/>
      <c r="G210" s="177"/>
      <c r="H210" s="161"/>
      <c r="I210" s="151"/>
    </row>
    <row r="211" spans="2:9" s="146" customFormat="1" x14ac:dyDescent="0.2">
      <c r="B211" s="147"/>
      <c r="C211" s="148"/>
      <c r="D211" s="148"/>
      <c r="E211" s="158"/>
      <c r="F211" s="159"/>
      <c r="G211" s="177"/>
      <c r="H211" s="161"/>
      <c r="I211" s="151"/>
    </row>
    <row r="212" spans="2:9" s="146" customFormat="1" x14ac:dyDescent="0.2">
      <c r="B212" s="147"/>
      <c r="C212" s="148"/>
      <c r="D212" s="148"/>
      <c r="E212" s="158"/>
      <c r="F212" s="159"/>
      <c r="G212" s="177"/>
      <c r="H212" s="161"/>
      <c r="I212" s="151"/>
    </row>
    <row r="213" spans="2:9" s="146" customFormat="1" x14ac:dyDescent="0.2">
      <c r="B213" s="147"/>
      <c r="C213" s="148"/>
      <c r="D213" s="148"/>
      <c r="E213" s="158"/>
      <c r="F213" s="159"/>
      <c r="G213" s="177"/>
      <c r="H213" s="161"/>
      <c r="I213" s="151"/>
    </row>
    <row r="214" spans="2:9" s="146" customFormat="1" x14ac:dyDescent="0.2">
      <c r="B214" s="147"/>
      <c r="C214" s="148"/>
      <c r="D214" s="148"/>
      <c r="E214" s="158"/>
      <c r="F214" s="159"/>
      <c r="G214" s="177"/>
      <c r="H214" s="161"/>
      <c r="I214" s="151"/>
    </row>
    <row r="215" spans="2:9" s="146" customFormat="1" x14ac:dyDescent="0.2">
      <c r="B215" s="147"/>
      <c r="C215" s="148"/>
      <c r="D215" s="148"/>
      <c r="E215" s="158"/>
      <c r="F215" s="159"/>
      <c r="G215" s="177"/>
      <c r="H215" s="161"/>
      <c r="I215" s="151"/>
    </row>
    <row r="216" spans="2:9" s="146" customFormat="1" x14ac:dyDescent="0.2">
      <c r="B216" s="147"/>
      <c r="C216" s="148"/>
      <c r="D216" s="148"/>
      <c r="E216" s="158"/>
      <c r="F216" s="159"/>
      <c r="G216" s="177"/>
      <c r="H216" s="161"/>
      <c r="I216" s="151"/>
    </row>
    <row r="217" spans="2:9" s="146" customFormat="1" x14ac:dyDescent="0.2">
      <c r="B217" s="147"/>
      <c r="C217" s="148"/>
      <c r="D217" s="148"/>
      <c r="E217" s="158"/>
      <c r="F217" s="159"/>
      <c r="G217" s="177"/>
      <c r="H217" s="161"/>
      <c r="I217" s="151"/>
    </row>
    <row r="218" spans="2:9" s="146" customFormat="1" x14ac:dyDescent="0.2">
      <c r="B218" s="147"/>
      <c r="C218" s="148"/>
      <c r="D218" s="148"/>
      <c r="E218" s="158"/>
      <c r="F218" s="159"/>
      <c r="G218" s="177"/>
      <c r="H218" s="161"/>
      <c r="I218" s="151"/>
    </row>
    <row r="219" spans="2:9" s="146" customFormat="1" x14ac:dyDescent="0.2">
      <c r="B219" s="147"/>
      <c r="C219" s="148"/>
      <c r="D219" s="148"/>
      <c r="E219" s="158"/>
      <c r="F219" s="159"/>
      <c r="G219" s="177"/>
      <c r="H219" s="161"/>
      <c r="I219" s="151"/>
    </row>
    <row r="220" spans="2:9" s="146" customFormat="1" x14ac:dyDescent="0.2">
      <c r="B220" s="147"/>
      <c r="C220" s="148"/>
      <c r="D220" s="148"/>
      <c r="E220" s="158"/>
      <c r="F220" s="159"/>
      <c r="G220" s="177"/>
      <c r="H220" s="161"/>
      <c r="I220" s="151"/>
    </row>
    <row r="221" spans="2:9" s="146" customFormat="1" x14ac:dyDescent="0.2">
      <c r="B221" s="147"/>
      <c r="C221" s="148"/>
      <c r="D221" s="148"/>
      <c r="E221" s="158"/>
      <c r="F221" s="159"/>
      <c r="G221" s="177"/>
      <c r="H221" s="161"/>
      <c r="I221" s="151"/>
    </row>
    <row r="222" spans="2:9" s="146" customFormat="1" x14ac:dyDescent="0.2">
      <c r="B222" s="147"/>
      <c r="C222" s="148"/>
      <c r="D222" s="148"/>
      <c r="E222" s="158"/>
      <c r="F222" s="159"/>
      <c r="G222" s="177"/>
      <c r="H222" s="161"/>
      <c r="I222" s="151"/>
    </row>
    <row r="223" spans="2:9" s="146" customFormat="1" x14ac:dyDescent="0.2">
      <c r="B223" s="147"/>
      <c r="C223" s="148"/>
      <c r="D223" s="148"/>
      <c r="E223" s="158"/>
      <c r="F223" s="159"/>
      <c r="G223" s="177"/>
      <c r="H223" s="161"/>
      <c r="I223" s="151"/>
    </row>
    <row r="224" spans="2:9" s="146" customFormat="1" x14ac:dyDescent="0.2">
      <c r="B224" s="147"/>
      <c r="C224" s="148"/>
      <c r="D224" s="148"/>
      <c r="E224" s="158"/>
      <c r="F224" s="159"/>
      <c r="G224" s="177"/>
      <c r="H224" s="161"/>
      <c r="I224" s="151"/>
    </row>
    <row r="225" spans="2:9" s="146" customFormat="1" x14ac:dyDescent="0.2">
      <c r="B225" s="147"/>
      <c r="C225" s="148"/>
      <c r="D225" s="148"/>
      <c r="E225" s="158"/>
      <c r="F225" s="159"/>
      <c r="G225" s="177"/>
      <c r="H225" s="161"/>
      <c r="I225" s="151"/>
    </row>
    <row r="226" spans="2:9" s="146" customFormat="1" x14ac:dyDescent="0.2">
      <c r="B226" s="147"/>
      <c r="C226" s="148"/>
      <c r="D226" s="148"/>
      <c r="E226" s="158"/>
      <c r="F226" s="159"/>
      <c r="G226" s="177"/>
      <c r="H226" s="161"/>
      <c r="I226" s="151"/>
    </row>
    <row r="227" spans="2:9" s="146" customFormat="1" x14ac:dyDescent="0.2">
      <c r="B227" s="147"/>
      <c r="C227" s="148"/>
      <c r="D227" s="148"/>
      <c r="E227" s="158"/>
      <c r="F227" s="159"/>
      <c r="G227" s="177"/>
      <c r="H227" s="161"/>
      <c r="I227" s="151"/>
    </row>
  </sheetData>
  <pageMargins left="0.5" right="0.5" top="0.5" bottom="0.5" header="0.3" footer="0.3"/>
  <pageSetup scale="75" orientation="landscape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E9EAA-DB5B-F240-9614-8A8D34FDB5D5}">
  <dimension ref="A1:I27"/>
  <sheetViews>
    <sheetView topLeftCell="A4" zoomScale="139" zoomScaleNormal="139" workbookViewId="0">
      <selection activeCell="A9" sqref="A9:XFD9"/>
    </sheetView>
  </sheetViews>
  <sheetFormatPr baseColWidth="10" defaultRowHeight="16" x14ac:dyDescent="0.2"/>
  <cols>
    <col min="1" max="1" width="21.5" bestFit="1" customWidth="1"/>
    <col min="6" max="6" width="17.83203125" bestFit="1" customWidth="1"/>
    <col min="9" max="9" width="11.5" customWidth="1"/>
  </cols>
  <sheetData>
    <row r="1" spans="1:9" x14ac:dyDescent="0.2">
      <c r="A1" s="121"/>
      <c r="B1" s="121"/>
      <c r="C1" s="121"/>
      <c r="D1" s="121"/>
      <c r="E1" s="121"/>
      <c r="F1" s="121"/>
      <c r="G1" s="121"/>
      <c r="H1" s="121"/>
      <c r="I1" s="121"/>
    </row>
    <row r="2" spans="1:9" x14ac:dyDescent="0.2">
      <c r="A2" s="121"/>
      <c r="B2" s="141" t="s">
        <v>85</v>
      </c>
      <c r="C2" s="141" t="s">
        <v>86</v>
      </c>
      <c r="D2" s="141" t="s">
        <v>87</v>
      </c>
      <c r="E2" s="141" t="s">
        <v>88</v>
      </c>
      <c r="F2" s="141" t="s">
        <v>89</v>
      </c>
      <c r="G2" s="141"/>
      <c r="H2" s="141"/>
      <c r="I2" s="141" t="s">
        <v>87</v>
      </c>
    </row>
    <row r="3" spans="1:9" x14ac:dyDescent="0.2">
      <c r="A3" s="121" t="s">
        <v>41</v>
      </c>
      <c r="B3" s="122">
        <v>0</v>
      </c>
      <c r="C3" s="123">
        <v>15</v>
      </c>
      <c r="D3" s="122">
        <f t="shared" ref="D3:D10" si="0">B3*C3</f>
        <v>0</v>
      </c>
      <c r="E3" s="122">
        <f>D3*0.07</f>
        <v>0</v>
      </c>
      <c r="F3" s="122">
        <f>D3*0.25</f>
        <v>0</v>
      </c>
      <c r="G3" s="122"/>
      <c r="H3" s="122"/>
      <c r="I3" s="122">
        <v>300</v>
      </c>
    </row>
    <row r="4" spans="1:9" x14ac:dyDescent="0.2">
      <c r="A4" s="121" t="s">
        <v>49</v>
      </c>
      <c r="B4" s="122">
        <v>0</v>
      </c>
      <c r="C4" s="123">
        <v>700</v>
      </c>
      <c r="D4" s="122">
        <f t="shared" si="0"/>
        <v>0</v>
      </c>
      <c r="E4" s="122">
        <f t="shared" ref="E4:E10" si="1">D4*0.07</f>
        <v>0</v>
      </c>
      <c r="F4" s="122">
        <f t="shared" ref="F4:F10" si="2">D4*0.25</f>
        <v>0</v>
      </c>
      <c r="G4" s="122"/>
      <c r="H4" s="122"/>
      <c r="I4" s="122">
        <f>_xlfn.SINGLE(SUM(I22))</f>
        <v>13186.8</v>
      </c>
    </row>
    <row r="5" spans="1:9" x14ac:dyDescent="0.2">
      <c r="A5" s="121" t="s">
        <v>117</v>
      </c>
      <c r="B5" s="122">
        <v>50</v>
      </c>
      <c r="C5" s="123">
        <v>3</v>
      </c>
      <c r="D5" s="122">
        <f t="shared" ref="D5" si="3">B5*C5</f>
        <v>150</v>
      </c>
      <c r="E5" s="122">
        <f t="shared" si="1"/>
        <v>10.500000000000002</v>
      </c>
      <c r="F5" s="122">
        <f t="shared" ref="F5" si="4">D5*0.25</f>
        <v>37.5</v>
      </c>
      <c r="G5" s="122"/>
      <c r="H5" s="122"/>
      <c r="I5" s="122">
        <f>_xlfn.SINGLE(SUM(D5:F5))</f>
        <v>198</v>
      </c>
    </row>
    <row r="6" spans="1:9" x14ac:dyDescent="0.2">
      <c r="A6" s="121" t="s">
        <v>108</v>
      </c>
      <c r="B6" s="122">
        <v>22</v>
      </c>
      <c r="C6" s="123">
        <v>525</v>
      </c>
      <c r="D6" s="122">
        <f t="shared" ref="D6" si="5">B6*C6</f>
        <v>11550</v>
      </c>
      <c r="E6" s="122">
        <f t="shared" si="1"/>
        <v>808.50000000000011</v>
      </c>
      <c r="F6" s="122">
        <f t="shared" si="2"/>
        <v>2887.5</v>
      </c>
      <c r="G6" s="122"/>
      <c r="H6" s="122"/>
      <c r="I6" s="122">
        <f t="shared" ref="I6" si="6">D6+E6+F6+G6+H6</f>
        <v>15246</v>
      </c>
    </row>
    <row r="7" spans="1:9" x14ac:dyDescent="0.2">
      <c r="A7" s="121" t="s">
        <v>80</v>
      </c>
      <c r="B7" s="122">
        <v>30</v>
      </c>
      <c r="C7" s="123">
        <v>400</v>
      </c>
      <c r="D7" s="122">
        <f t="shared" si="0"/>
        <v>12000</v>
      </c>
      <c r="E7" s="122">
        <f t="shared" si="1"/>
        <v>840.00000000000011</v>
      </c>
      <c r="F7" s="122">
        <f t="shared" si="2"/>
        <v>3000</v>
      </c>
      <c r="G7" s="122"/>
      <c r="H7" s="122"/>
      <c r="I7" s="122">
        <f t="shared" ref="I7:I10" si="7">D7+E7+F7+G7+H7</f>
        <v>15840</v>
      </c>
    </row>
    <row r="8" spans="1:9" x14ac:dyDescent="0.2">
      <c r="A8" s="121" t="s">
        <v>98</v>
      </c>
      <c r="B8" s="122">
        <v>30</v>
      </c>
      <c r="C8" s="123">
        <v>400</v>
      </c>
      <c r="D8" s="122">
        <f t="shared" si="0"/>
        <v>12000</v>
      </c>
      <c r="E8" s="122">
        <f t="shared" si="1"/>
        <v>840.00000000000011</v>
      </c>
      <c r="F8" s="122">
        <f t="shared" si="2"/>
        <v>3000</v>
      </c>
      <c r="G8" s="122"/>
      <c r="H8" s="122"/>
      <c r="I8" s="122">
        <f t="shared" si="7"/>
        <v>15840</v>
      </c>
    </row>
    <row r="9" spans="1:9" x14ac:dyDescent="0.2">
      <c r="A9" s="121" t="s">
        <v>43</v>
      </c>
      <c r="B9" s="122">
        <v>44</v>
      </c>
      <c r="C9" s="123">
        <v>500</v>
      </c>
      <c r="D9" s="122">
        <f t="shared" si="0"/>
        <v>22000</v>
      </c>
      <c r="E9" s="122">
        <f t="shared" si="1"/>
        <v>1540.0000000000002</v>
      </c>
      <c r="F9" s="122">
        <f t="shared" si="2"/>
        <v>5500</v>
      </c>
      <c r="G9" s="122"/>
      <c r="H9" s="122"/>
      <c r="I9" s="122">
        <f t="shared" si="7"/>
        <v>29040</v>
      </c>
    </row>
    <row r="10" spans="1:9" x14ac:dyDescent="0.2">
      <c r="A10" s="178" t="s">
        <v>55</v>
      </c>
      <c r="B10" s="179">
        <v>42</v>
      </c>
      <c r="C10" s="180">
        <v>55</v>
      </c>
      <c r="D10" s="179">
        <f t="shared" si="0"/>
        <v>2310</v>
      </c>
      <c r="E10" s="179">
        <f t="shared" si="1"/>
        <v>161.70000000000002</v>
      </c>
      <c r="F10" s="179">
        <f t="shared" si="2"/>
        <v>577.5</v>
      </c>
      <c r="G10" s="179"/>
      <c r="H10" s="179"/>
      <c r="I10" s="179">
        <f t="shared" si="7"/>
        <v>3049.2</v>
      </c>
    </row>
    <row r="11" spans="1:9" x14ac:dyDescent="0.2">
      <c r="A11" s="121"/>
      <c r="B11" s="121"/>
      <c r="C11" s="121"/>
      <c r="D11" s="121"/>
      <c r="E11" s="121"/>
      <c r="F11" s="121"/>
      <c r="G11" s="122" t="s">
        <v>90</v>
      </c>
      <c r="H11" s="121"/>
      <c r="I11" s="122">
        <f>SUM(I3:I10)</f>
        <v>92700</v>
      </c>
    </row>
    <row r="14" spans="1:9" x14ac:dyDescent="0.2">
      <c r="A14" s="184" t="s">
        <v>49</v>
      </c>
      <c r="B14" s="122"/>
      <c r="C14" s="123"/>
      <c r="D14" s="122"/>
      <c r="E14" s="122"/>
      <c r="F14" s="122"/>
      <c r="G14" s="122"/>
      <c r="H14" s="122"/>
      <c r="I14" s="122"/>
    </row>
    <row r="15" spans="1:9" x14ac:dyDescent="0.2">
      <c r="A15" s="121" t="s">
        <v>116</v>
      </c>
      <c r="B15" s="122">
        <v>80</v>
      </c>
      <c r="C15" s="123">
        <v>3</v>
      </c>
      <c r="D15" s="122">
        <f t="shared" ref="D15:D16" si="8">B15*C15</f>
        <v>240</v>
      </c>
      <c r="E15" s="122">
        <f t="shared" ref="E15:E21" si="9">D15*0.07</f>
        <v>16.8</v>
      </c>
      <c r="F15" s="122">
        <f t="shared" ref="F15:F16" si="10">D15*0.25</f>
        <v>60</v>
      </c>
      <c r="G15" s="122"/>
      <c r="H15" s="122"/>
      <c r="I15" s="122">
        <f t="shared" ref="I15" si="11">D15+E15+F15+G15+H15</f>
        <v>316.8</v>
      </c>
    </row>
    <row r="16" spans="1:9" x14ac:dyDescent="0.2">
      <c r="A16" s="121" t="s">
        <v>118</v>
      </c>
      <c r="B16" s="122">
        <v>7</v>
      </c>
      <c r="C16" s="123">
        <v>150</v>
      </c>
      <c r="D16" s="122">
        <f t="shared" si="8"/>
        <v>1050</v>
      </c>
      <c r="E16" s="122">
        <f t="shared" si="9"/>
        <v>73.5</v>
      </c>
      <c r="F16" s="122">
        <f t="shared" si="10"/>
        <v>262.5</v>
      </c>
      <c r="G16" s="122"/>
      <c r="H16" s="122"/>
      <c r="I16" s="122">
        <f>SUM(D16:F16)</f>
        <v>1386</v>
      </c>
    </row>
    <row r="17" spans="1:9" x14ac:dyDescent="0.2">
      <c r="A17" s="182" t="s">
        <v>115</v>
      </c>
      <c r="B17" s="122">
        <v>12</v>
      </c>
      <c r="C17" s="123">
        <v>150</v>
      </c>
      <c r="D17" s="122">
        <f t="shared" ref="D17" si="12">B17*C17</f>
        <v>1800</v>
      </c>
      <c r="E17" s="122">
        <f t="shared" si="9"/>
        <v>126.00000000000001</v>
      </c>
      <c r="F17" s="122">
        <f t="shared" ref="F17" si="13">D17*0.25</f>
        <v>450</v>
      </c>
      <c r="G17" s="122"/>
      <c r="H17" s="122"/>
      <c r="I17" s="122">
        <f t="shared" ref="I17" si="14">D17+E17+F17+G17+H17</f>
        <v>2376</v>
      </c>
    </row>
    <row r="18" spans="1:9" x14ac:dyDescent="0.2">
      <c r="A18" s="182" t="s">
        <v>111</v>
      </c>
      <c r="B18" s="122">
        <v>18</v>
      </c>
      <c r="C18" s="123">
        <v>150</v>
      </c>
      <c r="D18" s="122">
        <f t="shared" ref="D18:D21" si="15">B18*C18</f>
        <v>2700</v>
      </c>
      <c r="E18" s="122">
        <f t="shared" si="9"/>
        <v>189.00000000000003</v>
      </c>
      <c r="F18" s="122">
        <f t="shared" ref="F18:F21" si="16">D18*0.25</f>
        <v>675</v>
      </c>
      <c r="G18" s="122"/>
      <c r="H18" s="122"/>
      <c r="I18" s="122">
        <f t="shared" ref="I18:I21" si="17">D18+E18+F18+G18+H18</f>
        <v>3564</v>
      </c>
    </row>
    <row r="19" spans="1:9" x14ac:dyDescent="0.2">
      <c r="A19" s="182" t="s">
        <v>112</v>
      </c>
      <c r="B19" s="122">
        <v>14</v>
      </c>
      <c r="C19" s="123">
        <v>150</v>
      </c>
      <c r="D19" s="122">
        <f t="shared" si="15"/>
        <v>2100</v>
      </c>
      <c r="E19" s="122">
        <f t="shared" si="9"/>
        <v>147</v>
      </c>
      <c r="F19" s="122">
        <f t="shared" si="16"/>
        <v>525</v>
      </c>
      <c r="G19" s="122"/>
      <c r="H19" s="122"/>
      <c r="I19" s="122">
        <f t="shared" si="17"/>
        <v>2772</v>
      </c>
    </row>
    <row r="20" spans="1:9" x14ac:dyDescent="0.2">
      <c r="A20" s="182" t="s">
        <v>113</v>
      </c>
      <c r="B20" s="122">
        <v>7</v>
      </c>
      <c r="C20" s="123">
        <v>150</v>
      </c>
      <c r="D20" s="122">
        <f t="shared" si="15"/>
        <v>1050</v>
      </c>
      <c r="E20" s="122">
        <f t="shared" si="9"/>
        <v>73.5</v>
      </c>
      <c r="F20" s="122">
        <f t="shared" si="16"/>
        <v>262.5</v>
      </c>
      <c r="G20" s="122"/>
      <c r="H20" s="122"/>
      <c r="I20" s="122">
        <f t="shared" si="17"/>
        <v>1386</v>
      </c>
    </row>
    <row r="21" spans="1:9" x14ac:dyDescent="0.2">
      <c r="A21" s="182" t="s">
        <v>114</v>
      </c>
      <c r="B21" s="122">
        <v>7</v>
      </c>
      <c r="C21" s="123">
        <v>150</v>
      </c>
      <c r="D21" s="122">
        <f t="shared" si="15"/>
        <v>1050</v>
      </c>
      <c r="E21" s="122">
        <f t="shared" si="9"/>
        <v>73.5</v>
      </c>
      <c r="F21" s="122">
        <f t="shared" si="16"/>
        <v>262.5</v>
      </c>
      <c r="G21" s="122"/>
      <c r="H21" s="122"/>
      <c r="I21" s="122">
        <f t="shared" si="17"/>
        <v>1386</v>
      </c>
    </row>
    <row r="22" spans="1:9" x14ac:dyDescent="0.2">
      <c r="A22" s="182"/>
      <c r="B22" s="182"/>
      <c r="C22" s="182"/>
      <c r="D22" s="182"/>
      <c r="E22" s="182"/>
      <c r="F22" s="182"/>
      <c r="G22" s="182"/>
      <c r="H22" s="182"/>
      <c r="I22" s="183">
        <f>_xlfn.SINGLE(SUM(I15:I21))</f>
        <v>13186.8</v>
      </c>
    </row>
    <row r="23" spans="1:9" x14ac:dyDescent="0.2">
      <c r="A23" s="181"/>
      <c r="B23" s="181"/>
      <c r="C23" s="181"/>
      <c r="D23" s="181"/>
      <c r="E23" s="181"/>
      <c r="F23" s="181"/>
      <c r="G23" s="181"/>
      <c r="H23" s="181"/>
      <c r="I23" s="181"/>
    </row>
    <row r="24" spans="1:9" x14ac:dyDescent="0.2">
      <c r="A24" s="181"/>
      <c r="B24" s="181"/>
      <c r="C24" s="181"/>
      <c r="D24" s="181"/>
      <c r="E24" s="181"/>
      <c r="F24" s="181"/>
      <c r="G24" s="181"/>
      <c r="H24" s="181"/>
      <c r="I24" s="181"/>
    </row>
    <row r="25" spans="1:9" x14ac:dyDescent="0.2">
      <c r="A25" s="181"/>
      <c r="B25" s="181"/>
      <c r="C25" s="181"/>
      <c r="D25" s="181"/>
      <c r="E25" s="181"/>
      <c r="F25" s="181"/>
      <c r="G25" s="181"/>
      <c r="H25" s="181"/>
      <c r="I25" s="181"/>
    </row>
    <row r="26" spans="1:9" x14ac:dyDescent="0.2">
      <c r="A26" s="181"/>
      <c r="B26" s="181"/>
      <c r="C26" s="181"/>
      <c r="D26" s="181"/>
      <c r="E26" s="181"/>
      <c r="F26" s="181"/>
      <c r="G26" s="181"/>
      <c r="H26" s="181"/>
      <c r="I26" s="181"/>
    </row>
    <row r="27" spans="1:9" x14ac:dyDescent="0.2">
      <c r="A27" s="181"/>
      <c r="B27" s="181"/>
      <c r="C27" s="181"/>
      <c r="D27" s="181"/>
      <c r="E27" s="181"/>
      <c r="F27" s="181"/>
      <c r="G27" s="181"/>
      <c r="H27" s="181"/>
      <c r="I27" s="1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Proposed Budget 2020-2021</vt:lpstr>
      <vt:lpstr>2020 Savannah REVISED</vt:lpstr>
      <vt:lpstr>2020 Savannah OLD</vt:lpstr>
      <vt:lpstr>F&amp;B Broke Down</vt:lpstr>
    </vt:vector>
  </TitlesOfParts>
  <Company>Nardone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Shea</dc:creator>
  <cp:lastModifiedBy>Kelly Lass</cp:lastModifiedBy>
  <cp:lastPrinted>2020-03-04T13:37:10Z</cp:lastPrinted>
  <dcterms:created xsi:type="dcterms:W3CDTF">2015-08-20T19:24:22Z</dcterms:created>
  <dcterms:modified xsi:type="dcterms:W3CDTF">2020-03-26T18:31:48Z</dcterms:modified>
</cp:coreProperties>
</file>