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ISBO_Kavanagh\Dropbox\_damian_misbo\MISBO Data analysis projects\"/>
    </mc:Choice>
  </mc:AlternateContent>
  <bookViews>
    <workbookView xWindow="0" yWindow="0" windowWidth="18300" windowHeight="9195" tabRatio="500"/>
  </bookViews>
  <sheets>
    <sheet name="Instructions" sheetId="4" r:id="rId1"/>
    <sheet name="Revenues" sheetId="3" r:id="rId2"/>
    <sheet name="BenchmarkExpenses" sheetId="9" r:id="rId3"/>
    <sheet name="Enrollment forecasting" sheetId="10" r:id="rId4"/>
    <sheet name="Charts" sheetId="5" r:id="rId5"/>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274" i="5" l="1"/>
  <c r="J270" i="5"/>
  <c r="J266" i="5"/>
  <c r="J246" i="5"/>
  <c r="J242" i="5"/>
  <c r="J238" i="5"/>
  <c r="J234" i="5"/>
  <c r="J230" i="5"/>
  <c r="J226" i="5"/>
  <c r="J222" i="5"/>
  <c r="J218" i="5"/>
  <c r="J214" i="5"/>
  <c r="J210" i="5"/>
  <c r="J206" i="5"/>
  <c r="J202" i="5"/>
  <c r="J198" i="5"/>
  <c r="J194" i="5"/>
  <c r="J190" i="5"/>
  <c r="J186" i="5"/>
  <c r="J182" i="5"/>
  <c r="J178" i="5"/>
  <c r="J174" i="5"/>
  <c r="J170" i="5"/>
  <c r="J166" i="5"/>
  <c r="J162" i="5"/>
  <c r="J158" i="5"/>
  <c r="J154" i="5"/>
  <c r="J150" i="5"/>
  <c r="J146" i="5"/>
  <c r="J142" i="5"/>
  <c r="J138" i="5"/>
  <c r="J134" i="5"/>
  <c r="J130" i="5"/>
  <c r="J126" i="5"/>
  <c r="J118" i="5"/>
  <c r="J114" i="5"/>
  <c r="J110" i="5"/>
  <c r="J106" i="5"/>
  <c r="J102" i="5"/>
  <c r="J98" i="5"/>
  <c r="J94" i="5"/>
  <c r="J90" i="5"/>
  <c r="J86" i="5"/>
  <c r="J82" i="5"/>
  <c r="J63" i="5"/>
  <c r="J59" i="5"/>
  <c r="J55" i="5"/>
  <c r="J51" i="5"/>
  <c r="J47" i="5"/>
  <c r="J43" i="5"/>
  <c r="J39" i="5"/>
  <c r="J35" i="5"/>
  <c r="J31" i="5"/>
  <c r="J27" i="5"/>
  <c r="J23" i="5"/>
  <c r="J19" i="5"/>
  <c r="J15" i="5"/>
  <c r="J11" i="5"/>
  <c r="J7" i="5"/>
  <c r="J3" i="5"/>
  <c r="G23" i="3" l="1"/>
  <c r="I23" i="3"/>
  <c r="H23" i="3"/>
  <c r="G22" i="3"/>
  <c r="I22" i="3"/>
  <c r="H22" i="3"/>
  <c r="D23" i="3"/>
  <c r="D22" i="3"/>
  <c r="I18" i="3" l="1"/>
  <c r="H18" i="3"/>
  <c r="G18" i="3"/>
  <c r="D18" i="3"/>
  <c r="I59" i="5"/>
  <c r="H59" i="5"/>
  <c r="G59" i="5"/>
  <c r="F59" i="5"/>
  <c r="E59" i="5"/>
  <c r="D59" i="5"/>
  <c r="C59" i="5"/>
  <c r="B59" i="5"/>
  <c r="H17" i="3"/>
  <c r="G17" i="3"/>
  <c r="D17" i="3"/>
  <c r="I16" i="3" l="1"/>
  <c r="H16" i="3"/>
  <c r="G16" i="3"/>
  <c r="I15" i="3"/>
  <c r="H15" i="3"/>
  <c r="G15" i="3"/>
  <c r="I14" i="3"/>
  <c r="H14" i="3"/>
  <c r="G14" i="3"/>
  <c r="I13" i="3"/>
  <c r="H13" i="3"/>
  <c r="G13" i="3"/>
  <c r="I12" i="3"/>
  <c r="H12" i="3"/>
  <c r="G12" i="3"/>
  <c r="I11" i="3"/>
  <c r="H11" i="3"/>
  <c r="G11" i="3"/>
  <c r="I10" i="3"/>
  <c r="H10" i="3"/>
  <c r="G10" i="3"/>
  <c r="I9" i="3"/>
  <c r="H9" i="3"/>
  <c r="G9" i="3"/>
  <c r="I8" i="3"/>
  <c r="H8" i="3"/>
  <c r="G8" i="3"/>
  <c r="I7" i="3"/>
  <c r="H7" i="3"/>
  <c r="G7" i="3"/>
  <c r="I6" i="3"/>
  <c r="H6" i="3"/>
  <c r="G6" i="3"/>
  <c r="I5" i="3"/>
  <c r="H5" i="3"/>
  <c r="G5" i="3"/>
  <c r="I4" i="3"/>
  <c r="H4" i="3"/>
  <c r="G4" i="3"/>
  <c r="I3" i="3"/>
  <c r="H3" i="3"/>
  <c r="G3" i="3"/>
  <c r="J286" i="5"/>
  <c r="J285" i="5"/>
  <c r="J284" i="5"/>
  <c r="J70" i="5"/>
  <c r="J79" i="5" s="1"/>
  <c r="J69" i="5"/>
  <c r="J74" i="5" s="1"/>
  <c r="J68" i="5"/>
  <c r="J73" i="5" s="1"/>
  <c r="J75" i="5" l="1"/>
  <c r="J77" i="5"/>
  <c r="J78" i="5"/>
  <c r="C284" i="5"/>
  <c r="D284" i="5"/>
  <c r="E284" i="5"/>
  <c r="F284" i="5"/>
  <c r="G284" i="5"/>
  <c r="H284" i="5"/>
  <c r="I284" i="5"/>
  <c r="C285" i="5"/>
  <c r="D285" i="5"/>
  <c r="E285" i="5"/>
  <c r="F285" i="5"/>
  <c r="G285" i="5"/>
  <c r="H285" i="5"/>
  <c r="I285" i="5"/>
  <c r="C286" i="5"/>
  <c r="D286" i="5"/>
  <c r="E286" i="5"/>
  <c r="F286" i="5"/>
  <c r="G286" i="5"/>
  <c r="H286" i="5"/>
  <c r="I286" i="5"/>
  <c r="B286" i="5"/>
  <c r="B285" i="5"/>
  <c r="B284" i="5"/>
  <c r="J122" i="5" l="1"/>
  <c r="O18" i="10"/>
  <c r="A5" i="10"/>
  <c r="A6" i="10"/>
  <c r="A7" i="10"/>
  <c r="A8" i="10"/>
  <c r="A9" i="10"/>
  <c r="A10" i="10"/>
  <c r="A11" i="10"/>
  <c r="A12" i="10"/>
  <c r="A13" i="10"/>
  <c r="A14" i="10"/>
  <c r="A15" i="10"/>
  <c r="A16" i="10"/>
  <c r="A17" i="10"/>
  <c r="A18" i="10"/>
  <c r="A4" i="10"/>
  <c r="I274" i="5"/>
  <c r="I270" i="5"/>
  <c r="I266" i="5"/>
  <c r="I246" i="5"/>
  <c r="I242" i="5"/>
  <c r="I238" i="5"/>
  <c r="I234" i="5"/>
  <c r="H234" i="5"/>
  <c r="I230" i="5"/>
  <c r="I226" i="5"/>
  <c r="I222" i="5"/>
  <c r="I218" i="5"/>
  <c r="I214" i="5"/>
  <c r="I210" i="5"/>
  <c r="I206" i="5"/>
  <c r="I202" i="5"/>
  <c r="I198" i="5"/>
  <c r="I194" i="5"/>
  <c r="I190" i="5"/>
  <c r="I186" i="5"/>
  <c r="I182" i="5"/>
  <c r="I178" i="5"/>
  <c r="I174" i="5"/>
  <c r="I170" i="5"/>
  <c r="I166" i="5"/>
  <c r="I162" i="5"/>
  <c r="I158" i="5"/>
  <c r="I154" i="5"/>
  <c r="I150" i="5"/>
  <c r="I146" i="5"/>
  <c r="I142" i="5"/>
  <c r="I138" i="5"/>
  <c r="I134" i="5"/>
  <c r="I130" i="5"/>
  <c r="I126" i="5"/>
  <c r="I118" i="5"/>
  <c r="I114" i="5"/>
  <c r="I110" i="5"/>
  <c r="I106" i="5"/>
  <c r="I102" i="5"/>
  <c r="I98" i="5"/>
  <c r="I94" i="5"/>
  <c r="I90" i="5"/>
  <c r="I86" i="5"/>
  <c r="I82" i="5"/>
  <c r="C266" i="5"/>
  <c r="D238" i="5"/>
  <c r="E274" i="5"/>
  <c r="F270" i="5"/>
  <c r="G266" i="5"/>
  <c r="H246" i="5"/>
  <c r="B274" i="5"/>
  <c r="H154" i="5" l="1"/>
  <c r="H86" i="5"/>
  <c r="H170" i="5"/>
  <c r="E198" i="5"/>
  <c r="H102" i="5"/>
  <c r="E134" i="5"/>
  <c r="H218" i="5"/>
  <c r="F162" i="5"/>
  <c r="F210" i="5"/>
  <c r="E246" i="5"/>
  <c r="E98" i="5"/>
  <c r="F130" i="5"/>
  <c r="H138" i="5"/>
  <c r="E166" i="5"/>
  <c r="F194" i="5"/>
  <c r="H202" i="5"/>
  <c r="E230" i="5"/>
  <c r="F274" i="5"/>
  <c r="F94" i="5"/>
  <c r="F226" i="5"/>
  <c r="E114" i="5"/>
  <c r="F146" i="5"/>
  <c r="E182" i="5"/>
  <c r="E82" i="5"/>
  <c r="F110" i="5"/>
  <c r="H118" i="5"/>
  <c r="E150" i="5"/>
  <c r="F178" i="5"/>
  <c r="H186" i="5"/>
  <c r="E214" i="5"/>
  <c r="F242" i="5"/>
  <c r="H266" i="5"/>
  <c r="G106" i="5"/>
  <c r="G142" i="5"/>
  <c r="G174" i="5"/>
  <c r="G238" i="5"/>
  <c r="G270" i="5"/>
  <c r="F82" i="5"/>
  <c r="E86" i="5"/>
  <c r="H90" i="5"/>
  <c r="G94" i="5"/>
  <c r="F98" i="5"/>
  <c r="E102" i="5"/>
  <c r="H106" i="5"/>
  <c r="G110" i="5"/>
  <c r="F114" i="5"/>
  <c r="E118" i="5"/>
  <c r="H126" i="5"/>
  <c r="G130" i="5"/>
  <c r="F134" i="5"/>
  <c r="E138" i="5"/>
  <c r="H142" i="5"/>
  <c r="G146" i="5"/>
  <c r="F150" i="5"/>
  <c r="E154" i="5"/>
  <c r="H158" i="5"/>
  <c r="G162" i="5"/>
  <c r="F166" i="5"/>
  <c r="E170" i="5"/>
  <c r="H174" i="5"/>
  <c r="G178" i="5"/>
  <c r="F182" i="5"/>
  <c r="E186" i="5"/>
  <c r="H190" i="5"/>
  <c r="G194" i="5"/>
  <c r="F198" i="5"/>
  <c r="E202" i="5"/>
  <c r="H206" i="5"/>
  <c r="G210" i="5"/>
  <c r="F214" i="5"/>
  <c r="E218" i="5"/>
  <c r="H222" i="5"/>
  <c r="G226" i="5"/>
  <c r="F230" i="5"/>
  <c r="E234" i="5"/>
  <c r="H238" i="5"/>
  <c r="G242" i="5"/>
  <c r="F246" i="5"/>
  <c r="E266" i="5"/>
  <c r="H270" i="5"/>
  <c r="G274" i="5"/>
  <c r="G90" i="5"/>
  <c r="G126" i="5"/>
  <c r="G158" i="5"/>
  <c r="G206" i="5"/>
  <c r="G82" i="5"/>
  <c r="F86" i="5"/>
  <c r="E90" i="5"/>
  <c r="H94" i="5"/>
  <c r="G98" i="5"/>
  <c r="F102" i="5"/>
  <c r="E106" i="5"/>
  <c r="H110" i="5"/>
  <c r="G114" i="5"/>
  <c r="F118" i="5"/>
  <c r="E126" i="5"/>
  <c r="H130" i="5"/>
  <c r="G134" i="5"/>
  <c r="F138" i="5"/>
  <c r="E142" i="5"/>
  <c r="H146" i="5"/>
  <c r="G150" i="5"/>
  <c r="F154" i="5"/>
  <c r="E158" i="5"/>
  <c r="H162" i="5"/>
  <c r="G166" i="5"/>
  <c r="F170" i="5"/>
  <c r="E174" i="5"/>
  <c r="H178" i="5"/>
  <c r="G182" i="5"/>
  <c r="F186" i="5"/>
  <c r="E190" i="5"/>
  <c r="H194" i="5"/>
  <c r="G198" i="5"/>
  <c r="F202" i="5"/>
  <c r="E206" i="5"/>
  <c r="H210" i="5"/>
  <c r="G214" i="5"/>
  <c r="F218" i="5"/>
  <c r="E222" i="5"/>
  <c r="H226" i="5"/>
  <c r="G230" i="5"/>
  <c r="F234" i="5"/>
  <c r="E238" i="5"/>
  <c r="H242" i="5"/>
  <c r="G246" i="5"/>
  <c r="F266" i="5"/>
  <c r="E270" i="5"/>
  <c r="H274" i="5"/>
  <c r="G190" i="5"/>
  <c r="G222" i="5"/>
  <c r="H82" i="5"/>
  <c r="G86" i="5"/>
  <c r="F90" i="5"/>
  <c r="E94" i="5"/>
  <c r="H98" i="5"/>
  <c r="G102" i="5"/>
  <c r="F106" i="5"/>
  <c r="E110" i="5"/>
  <c r="H114" i="5"/>
  <c r="G118" i="5"/>
  <c r="F126" i="5"/>
  <c r="E130" i="5"/>
  <c r="H134" i="5"/>
  <c r="G138" i="5"/>
  <c r="F142" i="5"/>
  <c r="E146" i="5"/>
  <c r="H150" i="5"/>
  <c r="G154" i="5"/>
  <c r="F158" i="5"/>
  <c r="E162" i="5"/>
  <c r="H166" i="5"/>
  <c r="G170" i="5"/>
  <c r="F174" i="5"/>
  <c r="E178" i="5"/>
  <c r="H182" i="5"/>
  <c r="G186" i="5"/>
  <c r="F190" i="5"/>
  <c r="E194" i="5"/>
  <c r="H198" i="5"/>
  <c r="G202" i="5"/>
  <c r="F206" i="5"/>
  <c r="E210" i="5"/>
  <c r="H214" i="5"/>
  <c r="G218" i="5"/>
  <c r="F222" i="5"/>
  <c r="E226" i="5"/>
  <c r="H230" i="5"/>
  <c r="G234" i="5"/>
  <c r="F238" i="5"/>
  <c r="E242" i="5"/>
  <c r="C82" i="5"/>
  <c r="C90" i="5"/>
  <c r="C106" i="5"/>
  <c r="C114" i="5"/>
  <c r="C86" i="5"/>
  <c r="C94" i="5"/>
  <c r="C102" i="5"/>
  <c r="C110" i="5"/>
  <c r="C118" i="5"/>
  <c r="C98" i="5"/>
  <c r="C126" i="5"/>
  <c r="C246" i="5"/>
  <c r="B90" i="5"/>
  <c r="B106" i="5"/>
  <c r="B126" i="5"/>
  <c r="B86" i="5"/>
  <c r="B102" i="5"/>
  <c r="B118" i="5"/>
  <c r="B134" i="5"/>
  <c r="B142" i="5"/>
  <c r="B150" i="5"/>
  <c r="B158" i="5"/>
  <c r="B166" i="5"/>
  <c r="B174" i="5"/>
  <c r="B182" i="5"/>
  <c r="B190" i="5"/>
  <c r="B198" i="5"/>
  <c r="B206" i="5"/>
  <c r="B214" i="5"/>
  <c r="B222" i="5"/>
  <c r="B230" i="5"/>
  <c r="B82" i="5"/>
  <c r="B98" i="5"/>
  <c r="B114" i="5"/>
  <c r="B94" i="5"/>
  <c r="B110" i="5"/>
  <c r="B130" i="5"/>
  <c r="B138" i="5"/>
  <c r="B146" i="5"/>
  <c r="B154" i="5"/>
  <c r="B162" i="5"/>
  <c r="B170" i="5"/>
  <c r="B178" i="5"/>
  <c r="B186" i="5"/>
  <c r="B194" i="5"/>
  <c r="B202" i="5"/>
  <c r="B210" i="5"/>
  <c r="B218" i="5"/>
  <c r="B226" i="5"/>
  <c r="B234" i="5"/>
  <c r="D86" i="5"/>
  <c r="D94" i="5"/>
  <c r="D98" i="5"/>
  <c r="D102" i="5"/>
  <c r="D106" i="5"/>
  <c r="D110" i="5"/>
  <c r="D114" i="5"/>
  <c r="D118" i="5"/>
  <c r="D126" i="5"/>
  <c r="D142" i="5"/>
  <c r="D158" i="5"/>
  <c r="D174" i="5"/>
  <c r="D190" i="5"/>
  <c r="D206" i="5"/>
  <c r="D222" i="5"/>
  <c r="D246" i="5"/>
  <c r="D270" i="5"/>
  <c r="D138" i="5"/>
  <c r="D154" i="5"/>
  <c r="D170" i="5"/>
  <c r="D186" i="5"/>
  <c r="D202" i="5"/>
  <c r="D218" i="5"/>
  <c r="D234" i="5"/>
  <c r="D242" i="5"/>
  <c r="D134" i="5"/>
  <c r="D150" i="5"/>
  <c r="D166" i="5"/>
  <c r="D182" i="5"/>
  <c r="D198" i="5"/>
  <c r="D214" i="5"/>
  <c r="D230" i="5"/>
  <c r="D266" i="5"/>
  <c r="D274" i="5"/>
  <c r="D82" i="5"/>
  <c r="D90" i="5"/>
  <c r="D130" i="5"/>
  <c r="D146" i="5"/>
  <c r="D162" i="5"/>
  <c r="D178" i="5"/>
  <c r="D194" i="5"/>
  <c r="D210" i="5"/>
  <c r="D226" i="5"/>
  <c r="C242" i="5"/>
  <c r="C274" i="5"/>
  <c r="C238" i="5"/>
  <c r="C270" i="5"/>
  <c r="C130" i="5"/>
  <c r="C134" i="5"/>
  <c r="C138" i="5"/>
  <c r="C142" i="5"/>
  <c r="C146" i="5"/>
  <c r="C150" i="5"/>
  <c r="C154" i="5"/>
  <c r="C158" i="5"/>
  <c r="C162" i="5"/>
  <c r="C166" i="5"/>
  <c r="C170" i="5"/>
  <c r="C174" i="5"/>
  <c r="C178" i="5"/>
  <c r="C182" i="5"/>
  <c r="C186" i="5"/>
  <c r="C190" i="5"/>
  <c r="C194" i="5"/>
  <c r="C198" i="5"/>
  <c r="C202" i="5"/>
  <c r="C206" i="5"/>
  <c r="C210" i="5"/>
  <c r="C214" i="5"/>
  <c r="C218" i="5"/>
  <c r="C222" i="5"/>
  <c r="C226" i="5"/>
  <c r="C230" i="5"/>
  <c r="C234" i="5"/>
  <c r="B270" i="5"/>
  <c r="B238" i="5"/>
  <c r="B242" i="5"/>
  <c r="B246" i="5"/>
  <c r="B266" i="5"/>
  <c r="J38" i="10"/>
  <c r="O17" i="10" s="1"/>
  <c r="J37" i="10"/>
  <c r="O16" i="10" s="1"/>
  <c r="J33" i="10"/>
  <c r="O12" i="10" s="1"/>
  <c r="J32" i="10"/>
  <c r="O11" i="10" s="1"/>
  <c r="I41" i="10"/>
  <c r="J29" i="10"/>
  <c r="O8" i="10" s="1"/>
  <c r="J28" i="10"/>
  <c r="O7" i="10" s="1"/>
  <c r="J26" i="10"/>
  <c r="O5" i="10" s="1"/>
  <c r="J36" i="10"/>
  <c r="O15" i="10" s="1"/>
  <c r="J35" i="10"/>
  <c r="O14" i="10" s="1"/>
  <c r="J31" i="10"/>
  <c r="O10" i="10" s="1"/>
  <c r="G41" i="10"/>
  <c r="J39" i="10"/>
  <c r="F38" i="10"/>
  <c r="N17" i="10" s="1"/>
  <c r="L18" i="10" s="1"/>
  <c r="F37" i="10"/>
  <c r="N16" i="10" s="1"/>
  <c r="L17" i="10" s="1"/>
  <c r="M18" i="10" s="1"/>
  <c r="F36" i="10"/>
  <c r="N15" i="10" s="1"/>
  <c r="L16" i="10" s="1"/>
  <c r="M17" i="10" s="1"/>
  <c r="F35" i="10"/>
  <c r="N14" i="10" s="1"/>
  <c r="L15" i="10" s="1"/>
  <c r="J34" i="10"/>
  <c r="O13" i="10" s="1"/>
  <c r="F34" i="10"/>
  <c r="N13" i="10" s="1"/>
  <c r="L14" i="10" s="1"/>
  <c r="M15" i="10" s="1"/>
  <c r="F33" i="10"/>
  <c r="N12" i="10" s="1"/>
  <c r="L13" i="10" s="1"/>
  <c r="M14" i="10" s="1"/>
  <c r="F32" i="10"/>
  <c r="N11" i="10" s="1"/>
  <c r="F31" i="10"/>
  <c r="N10" i="10" s="1"/>
  <c r="F30" i="10"/>
  <c r="N9" i="10" s="1"/>
  <c r="L10" i="10" s="1"/>
  <c r="F29" i="10"/>
  <c r="N8" i="10" s="1"/>
  <c r="F28" i="10"/>
  <c r="N7" i="10" s="1"/>
  <c r="L8" i="10" s="1"/>
  <c r="J27" i="10"/>
  <c r="O6" i="10" s="1"/>
  <c r="F27" i="10"/>
  <c r="N6" i="10" s="1"/>
  <c r="L7" i="10" s="1"/>
  <c r="M8" i="10" s="1"/>
  <c r="F26" i="10"/>
  <c r="N5" i="10" s="1"/>
  <c r="L6" i="10" s="1"/>
  <c r="M7" i="10" s="1"/>
  <c r="J25" i="10"/>
  <c r="F25" i="10"/>
  <c r="N4" i="10" s="1"/>
  <c r="I20" i="10"/>
  <c r="H20" i="10"/>
  <c r="G20" i="10"/>
  <c r="F20" i="10"/>
  <c r="E20" i="10"/>
  <c r="D20" i="10"/>
  <c r="C20" i="10"/>
  <c r="M11" i="10" l="1"/>
  <c r="M5" i="10"/>
  <c r="L5" i="10"/>
  <c r="M6" i="10" s="1"/>
  <c r="L11" i="10"/>
  <c r="M12" i="10" s="1"/>
  <c r="L12" i="10"/>
  <c r="M13" i="10" s="1"/>
  <c r="M16" i="10"/>
  <c r="O4" i="10"/>
  <c r="H41" i="10"/>
  <c r="J30" i="10"/>
  <c r="O9" i="10" s="1"/>
  <c r="L9" i="10" s="1"/>
  <c r="M10" i="10" s="1"/>
  <c r="K20" i="10"/>
  <c r="J20" i="10"/>
  <c r="M9" i="10" l="1"/>
  <c r="J41" i="10"/>
  <c r="L20" i="10"/>
  <c r="A20" i="10" l="1"/>
  <c r="M20" i="10"/>
  <c r="C1" i="9" l="1"/>
  <c r="F55" i="9" l="1"/>
  <c r="H57" i="9"/>
  <c r="G49" i="9"/>
  <c r="F48" i="9"/>
  <c r="F49" i="9"/>
  <c r="H58" i="9"/>
  <c r="G57" i="9"/>
  <c r="H48" i="9"/>
  <c r="H49" i="9"/>
  <c r="G58" i="9"/>
  <c r="F57" i="9"/>
  <c r="G48" i="9"/>
  <c r="F58" i="9"/>
  <c r="F56" i="9"/>
  <c r="G54" i="9"/>
  <c r="F53" i="9"/>
  <c r="E49" i="9"/>
  <c r="E48" i="9"/>
  <c r="E47" i="9"/>
  <c r="E46" i="9"/>
  <c r="E45" i="9"/>
  <c r="E44" i="9"/>
  <c r="E43" i="9"/>
  <c r="E42" i="9"/>
  <c r="E41" i="9"/>
  <c r="E40" i="9"/>
  <c r="E39" i="9"/>
  <c r="E38" i="9"/>
  <c r="E37" i="9"/>
  <c r="E36" i="9"/>
  <c r="E35" i="9"/>
  <c r="E33" i="9"/>
  <c r="E31" i="9"/>
  <c r="E30" i="9"/>
  <c r="E29" i="9"/>
  <c r="E28" i="9"/>
  <c r="E27" i="9"/>
  <c r="E26" i="9"/>
  <c r="E25" i="9"/>
  <c r="E24" i="9"/>
  <c r="E23" i="9"/>
  <c r="E22" i="9"/>
  <c r="E21" i="9"/>
  <c r="E20" i="9"/>
  <c r="E19" i="9"/>
  <c r="E18" i="9"/>
  <c r="E17" i="9"/>
  <c r="E16" i="9"/>
  <c r="E15" i="9"/>
  <c r="E13" i="9"/>
  <c r="E12" i="9"/>
  <c r="E11" i="9"/>
  <c r="H55" i="9"/>
  <c r="F54" i="9"/>
  <c r="H47" i="9"/>
  <c r="H46" i="9"/>
  <c r="H45" i="9"/>
  <c r="H44" i="9"/>
  <c r="H43" i="9"/>
  <c r="H42" i="9"/>
  <c r="H41" i="9"/>
  <c r="H40" i="9"/>
  <c r="H39" i="9"/>
  <c r="H38" i="9"/>
  <c r="H37" i="9"/>
  <c r="H36" i="9"/>
  <c r="H35" i="9"/>
  <c r="H33" i="9"/>
  <c r="H31" i="9"/>
  <c r="H30" i="9"/>
  <c r="H29" i="9"/>
  <c r="H28" i="9"/>
  <c r="H27" i="9"/>
  <c r="H26" i="9"/>
  <c r="H25" i="9"/>
  <c r="H24" i="9"/>
  <c r="H23" i="9"/>
  <c r="H22" i="9"/>
  <c r="H21" i="9"/>
  <c r="H20" i="9"/>
  <c r="H19" i="9"/>
  <c r="H18" i="9"/>
  <c r="H17" i="9"/>
  <c r="H16" i="9"/>
  <c r="H15" i="9"/>
  <c r="H13" i="9"/>
  <c r="H12" i="9"/>
  <c r="H11" i="9"/>
  <c r="H10" i="9"/>
  <c r="H9" i="9"/>
  <c r="H8" i="9"/>
  <c r="H7" i="9"/>
  <c r="H6" i="9"/>
  <c r="H5" i="9"/>
  <c r="H56" i="9"/>
  <c r="H53" i="9"/>
  <c r="G47" i="9"/>
  <c r="G46" i="9"/>
  <c r="G45" i="9"/>
  <c r="G44" i="9"/>
  <c r="G43" i="9"/>
  <c r="G42" i="9"/>
  <c r="G41" i="9"/>
  <c r="G40" i="9"/>
  <c r="G39" i="9"/>
  <c r="G38" i="9"/>
  <c r="G37" i="9"/>
  <c r="G36" i="9"/>
  <c r="G35" i="9"/>
  <c r="G33" i="9"/>
  <c r="G31" i="9"/>
  <c r="G30" i="9"/>
  <c r="G29" i="9"/>
  <c r="G28" i="9"/>
  <c r="G27" i="9"/>
  <c r="G26" i="9"/>
  <c r="G25" i="9"/>
  <c r="G24" i="9"/>
  <c r="G23" i="9"/>
  <c r="G22" i="9"/>
  <c r="G21" i="9"/>
  <c r="G20" i="9"/>
  <c r="G19" i="9"/>
  <c r="G18" i="9"/>
  <c r="G17" i="9"/>
  <c r="G16" i="9"/>
  <c r="G15" i="9"/>
  <c r="F45" i="9"/>
  <c r="F41" i="9"/>
  <c r="F37" i="9"/>
  <c r="F31" i="9"/>
  <c r="F27" i="9"/>
  <c r="F23" i="9"/>
  <c r="F19" i="9"/>
  <c r="F15" i="9"/>
  <c r="G12" i="9"/>
  <c r="G10" i="9"/>
  <c r="F9" i="9"/>
  <c r="E8" i="9"/>
  <c r="G6" i="9"/>
  <c r="F5" i="9"/>
  <c r="G56" i="9"/>
  <c r="F44" i="9"/>
  <c r="F40" i="9"/>
  <c r="F36" i="9"/>
  <c r="F30" i="9"/>
  <c r="F26" i="9"/>
  <c r="F22" i="9"/>
  <c r="F18" i="9"/>
  <c r="F12" i="9"/>
  <c r="F10" i="9"/>
  <c r="E9" i="9"/>
  <c r="G7" i="9"/>
  <c r="F6" i="9"/>
  <c r="E5" i="9"/>
  <c r="H54" i="9"/>
  <c r="F47" i="9"/>
  <c r="F43" i="9"/>
  <c r="F39" i="9"/>
  <c r="F35" i="9"/>
  <c r="F29" i="9"/>
  <c r="F25" i="9"/>
  <c r="F21" i="9"/>
  <c r="F17" i="9"/>
  <c r="G13" i="9"/>
  <c r="G11" i="9"/>
  <c r="E10" i="9"/>
  <c r="G8" i="9"/>
  <c r="F7" i="9"/>
  <c r="E6" i="9"/>
  <c r="G53" i="9"/>
  <c r="F46" i="9"/>
  <c r="F42" i="9"/>
  <c r="F38" i="9"/>
  <c r="F33" i="9"/>
  <c r="F28" i="9"/>
  <c r="F24" i="9"/>
  <c r="F20" i="9"/>
  <c r="F16" i="9"/>
  <c r="F13" i="9"/>
  <c r="F11" i="9"/>
  <c r="G9" i="9"/>
  <c r="F8" i="9"/>
  <c r="E7" i="9"/>
  <c r="G5" i="9"/>
  <c r="I68" i="5"/>
  <c r="I77" i="5" s="1"/>
  <c r="I69" i="5"/>
  <c r="I74" i="5" s="1"/>
  <c r="I70" i="5"/>
  <c r="I79" i="5" s="1"/>
  <c r="C123" i="5"/>
  <c r="D123" i="5"/>
  <c r="E123" i="5"/>
  <c r="F123" i="5"/>
  <c r="G123" i="5"/>
  <c r="H123" i="5"/>
  <c r="H14" i="9" s="1"/>
  <c r="C124" i="5"/>
  <c r="D124" i="5"/>
  <c r="E124" i="5"/>
  <c r="F124" i="5"/>
  <c r="G124" i="5"/>
  <c r="H124" i="5"/>
  <c r="C125" i="5"/>
  <c r="D125" i="5"/>
  <c r="E125" i="5"/>
  <c r="F125" i="5"/>
  <c r="G125" i="5"/>
  <c r="H125" i="5"/>
  <c r="E122" i="5"/>
  <c r="B125" i="5"/>
  <c r="B124" i="5"/>
  <c r="B123" i="5"/>
  <c r="G14" i="9" l="1"/>
  <c r="F14" i="9"/>
  <c r="I78" i="5"/>
  <c r="I75" i="5"/>
  <c r="I73" i="5"/>
  <c r="I63" i="5"/>
  <c r="E51" i="9"/>
  <c r="I31" i="5"/>
  <c r="I47" i="5"/>
  <c r="I35" i="5"/>
  <c r="I23" i="5"/>
  <c r="I39" i="5"/>
  <c r="I55" i="5"/>
  <c r="I51" i="5"/>
  <c r="I27" i="5"/>
  <c r="I43" i="5"/>
  <c r="I15" i="5"/>
  <c r="I3" i="5"/>
  <c r="I19" i="5"/>
  <c r="I11" i="5"/>
  <c r="I7" i="5"/>
  <c r="H122" i="5"/>
  <c r="G122" i="5"/>
  <c r="F122" i="5"/>
  <c r="D122" i="5"/>
  <c r="C122" i="5"/>
  <c r="E14" i="9" s="1"/>
  <c r="I122" i="5"/>
  <c r="H70" i="5"/>
  <c r="H75" i="5" s="1"/>
  <c r="G70" i="5"/>
  <c r="F70" i="5"/>
  <c r="F79" i="5" s="1"/>
  <c r="E70" i="5"/>
  <c r="E79" i="5" s="1"/>
  <c r="D70" i="5"/>
  <c r="D79" i="5" s="1"/>
  <c r="C70" i="5"/>
  <c r="B70" i="5"/>
  <c r="H69" i="5"/>
  <c r="G69" i="5"/>
  <c r="G55" i="5" s="1"/>
  <c r="F69" i="5"/>
  <c r="F55" i="5" s="1"/>
  <c r="E69" i="5"/>
  <c r="E55" i="5" s="1"/>
  <c r="D69" i="5"/>
  <c r="D47" i="5" s="1"/>
  <c r="C69" i="5"/>
  <c r="B69" i="5"/>
  <c r="B74" i="5" s="1"/>
  <c r="H68" i="5"/>
  <c r="H73" i="5" s="1"/>
  <c r="G68" i="5"/>
  <c r="G77" i="5" s="1"/>
  <c r="F68" i="5"/>
  <c r="F77" i="5" s="1"/>
  <c r="E68" i="5"/>
  <c r="E77" i="5" s="1"/>
  <c r="D68" i="5"/>
  <c r="D77" i="5" s="1"/>
  <c r="C68" i="5"/>
  <c r="B68" i="5"/>
  <c r="G79" i="5"/>
  <c r="B23" i="3"/>
  <c r="B22" i="3"/>
  <c r="C79" i="5" l="1"/>
  <c r="G19" i="3"/>
  <c r="C63" i="5"/>
  <c r="H19" i="3"/>
  <c r="C77" i="5"/>
  <c r="I19" i="3"/>
  <c r="H74" i="5"/>
  <c r="H7" i="5"/>
  <c r="H23" i="5"/>
  <c r="H39" i="5"/>
  <c r="H55" i="5"/>
  <c r="H47" i="5"/>
  <c r="H3" i="5"/>
  <c r="H11" i="5"/>
  <c r="H27" i="5"/>
  <c r="H43" i="5"/>
  <c r="H63" i="5"/>
  <c r="H31" i="5"/>
  <c r="H19" i="5"/>
  <c r="H15" i="5"/>
  <c r="H35" i="5"/>
  <c r="H51" i="5"/>
  <c r="B79" i="5"/>
  <c r="B73" i="5"/>
  <c r="B122" i="5"/>
  <c r="F23" i="5"/>
  <c r="F63" i="5"/>
  <c r="F39" i="5"/>
  <c r="F7" i="5"/>
  <c r="D31" i="5"/>
  <c r="H77" i="5"/>
  <c r="D51" i="5"/>
  <c r="D74" i="5"/>
  <c r="D78" i="5"/>
  <c r="D15" i="5"/>
  <c r="D73" i="5"/>
  <c r="H79" i="5"/>
  <c r="D75" i="5"/>
  <c r="D7" i="5"/>
  <c r="D23" i="5"/>
  <c r="D39" i="5"/>
  <c r="D55" i="5"/>
  <c r="E11" i="5"/>
  <c r="E27" i="5"/>
  <c r="E43" i="5"/>
  <c r="E63" i="5"/>
  <c r="F15" i="5"/>
  <c r="F31" i="5"/>
  <c r="F47" i="5"/>
  <c r="F73" i="5"/>
  <c r="F74" i="5"/>
  <c r="F75" i="5"/>
  <c r="F78" i="5"/>
  <c r="H78" i="5"/>
  <c r="G11" i="5"/>
  <c r="G27" i="5"/>
  <c r="G43" i="5"/>
  <c r="G63" i="5"/>
  <c r="E35" i="5"/>
  <c r="E51" i="5"/>
  <c r="D11" i="5"/>
  <c r="D27" i="5"/>
  <c r="D43" i="5"/>
  <c r="D63" i="5"/>
  <c r="E15" i="5"/>
  <c r="E31" i="5"/>
  <c r="E47" i="5"/>
  <c r="F3" i="5"/>
  <c r="F19" i="5"/>
  <c r="F35" i="5"/>
  <c r="F51" i="5"/>
  <c r="E73" i="5"/>
  <c r="E74" i="5"/>
  <c r="E75" i="5"/>
  <c r="E78" i="5"/>
  <c r="G78" i="5"/>
  <c r="G75" i="5"/>
  <c r="G73" i="5"/>
  <c r="G15" i="5"/>
  <c r="G31" i="5"/>
  <c r="G47" i="5"/>
  <c r="G3" i="5"/>
  <c r="G19" i="5"/>
  <c r="G35" i="5"/>
  <c r="G51" i="5"/>
  <c r="E3" i="5"/>
  <c r="E19" i="5"/>
  <c r="B27" i="5"/>
  <c r="D3" i="5"/>
  <c r="D19" i="5"/>
  <c r="D35" i="5"/>
  <c r="E7" i="5"/>
  <c r="E23" i="5"/>
  <c r="E39" i="5"/>
  <c r="F11" i="5"/>
  <c r="F27" i="5"/>
  <c r="F43" i="5"/>
  <c r="C73" i="5"/>
  <c r="C74" i="5"/>
  <c r="C75" i="5"/>
  <c r="C78" i="5"/>
  <c r="G74" i="5"/>
  <c r="G7" i="5"/>
  <c r="G23" i="5"/>
  <c r="G39" i="5"/>
  <c r="C15" i="5"/>
  <c r="C31" i="5"/>
  <c r="D10" i="3" s="1"/>
  <c r="C47" i="5"/>
  <c r="D14" i="3" s="1"/>
  <c r="C3" i="5"/>
  <c r="C19" i="5"/>
  <c r="C35" i="5"/>
  <c r="D11" i="3" s="1"/>
  <c r="C51" i="5"/>
  <c r="D15" i="3" s="1"/>
  <c r="C7" i="5"/>
  <c r="C23" i="5"/>
  <c r="D8" i="3" s="1"/>
  <c r="C39" i="5"/>
  <c r="D12" i="3" s="1"/>
  <c r="C55" i="5"/>
  <c r="D16" i="3" s="1"/>
  <c r="C11" i="5"/>
  <c r="C27" i="5"/>
  <c r="C43" i="5"/>
  <c r="B3" i="5"/>
  <c r="B31" i="5"/>
  <c r="B35" i="5"/>
  <c r="B15" i="5"/>
  <c r="B47" i="5"/>
  <c r="B19" i="5"/>
  <c r="B51" i="5"/>
  <c r="B7" i="5"/>
  <c r="B23" i="5"/>
  <c r="B39" i="5"/>
  <c r="B55" i="5"/>
  <c r="B11" i="5"/>
  <c r="B43" i="5"/>
  <c r="B63" i="5"/>
  <c r="B77" i="5"/>
  <c r="B75" i="5"/>
  <c r="B78" i="5"/>
  <c r="I17" i="3" l="1"/>
  <c r="D3" i="3"/>
  <c r="D5" i="3"/>
  <c r="D13" i="3"/>
  <c r="D7" i="3"/>
  <c r="D6" i="3"/>
  <c r="D9" i="3"/>
  <c r="D4" i="3"/>
  <c r="B19" i="3"/>
  <c r="C17" i="3" s="1"/>
  <c r="E17" i="3" s="1"/>
  <c r="C2" i="9" l="1"/>
  <c r="C48" i="9"/>
  <c r="C49" i="9"/>
  <c r="C22" i="3"/>
  <c r="E22" i="3" s="1"/>
  <c r="C23" i="3"/>
  <c r="E23" i="3" s="1"/>
  <c r="C6" i="9"/>
  <c r="C42" i="9"/>
  <c r="C10" i="9"/>
  <c r="C26" i="9"/>
  <c r="C44" i="9"/>
  <c r="C19" i="9"/>
  <c r="C37" i="9"/>
  <c r="D28" i="9"/>
  <c r="D39" i="9"/>
  <c r="C13" i="9"/>
  <c r="C30" i="9"/>
  <c r="C7" i="9"/>
  <c r="C23" i="9"/>
  <c r="C41" i="9"/>
  <c r="C16" i="9"/>
  <c r="C33" i="9"/>
  <c r="C9" i="9"/>
  <c r="C25" i="9"/>
  <c r="C43" i="9"/>
  <c r="C5" i="9"/>
  <c r="C40" i="9"/>
  <c r="C31" i="9"/>
  <c r="C24" i="9"/>
  <c r="C35" i="9"/>
  <c r="C21" i="9"/>
  <c r="C18" i="9"/>
  <c r="C36" i="9"/>
  <c r="C11" i="9"/>
  <c r="C27" i="9"/>
  <c r="D45" i="9"/>
  <c r="C20" i="9"/>
  <c r="C38" i="9"/>
  <c r="C12" i="9"/>
  <c r="D29" i="9"/>
  <c r="D47" i="9"/>
  <c r="C22" i="9"/>
  <c r="C15" i="9"/>
  <c r="C8" i="9"/>
  <c r="D17" i="9"/>
  <c r="D46" i="9"/>
  <c r="C4" i="3"/>
  <c r="C11" i="3"/>
  <c r="C15" i="3"/>
  <c r="C7" i="3"/>
  <c r="C14" i="3"/>
  <c r="C10" i="3"/>
  <c r="C6" i="3"/>
  <c r="C18" i="3"/>
  <c r="C13" i="3"/>
  <c r="C9" i="3"/>
  <c r="C5" i="3"/>
  <c r="C16" i="3"/>
  <c r="C12" i="3"/>
  <c r="C8" i="3"/>
  <c r="D51" i="9" l="1"/>
  <c r="D14" i="9"/>
  <c r="E16" i="3"/>
  <c r="E6" i="3"/>
  <c r="E13" i="3"/>
  <c r="E10" i="3"/>
  <c r="E5" i="3"/>
  <c r="E18" i="3"/>
  <c r="E9" i="3"/>
  <c r="E7" i="3"/>
  <c r="E11" i="3"/>
  <c r="E8" i="3"/>
  <c r="E12" i="3"/>
  <c r="E14" i="3"/>
  <c r="C3" i="3"/>
  <c r="E15" i="3" l="1"/>
  <c r="E4" i="3"/>
  <c r="E3" i="3"/>
</calcChain>
</file>

<file path=xl/sharedStrings.xml><?xml version="1.0" encoding="utf-8"?>
<sst xmlns="http://schemas.openxmlformats.org/spreadsheetml/2006/main" count="465" uniqueCount="170">
  <si>
    <t>Net tuition &amp; fees as % of operating revenue</t>
  </si>
  <si>
    <t>percentage of your operating income</t>
  </si>
  <si>
    <t>REVENUES</t>
  </si>
  <si>
    <t>TOTAL REVENUES</t>
  </si>
  <si>
    <t>Additional Elements Tracked</t>
  </si>
  <si>
    <t>variance from benchmark</t>
  </si>
  <si>
    <t>see note</t>
  </si>
  <si>
    <t>Instructions</t>
  </si>
  <si>
    <t>DATA ENTRY BOXES</t>
  </si>
  <si>
    <t>Enrollment 101-200</t>
  </si>
  <si>
    <t>25th percentile</t>
  </si>
  <si>
    <t>50th percentile</t>
  </si>
  <si>
    <t>75th percentile</t>
  </si>
  <si>
    <t>list</t>
  </si>
  <si>
    <t>25th</t>
  </si>
  <si>
    <t>50th</t>
  </si>
  <si>
    <t>75th</t>
  </si>
  <si>
    <t>Need based financial aid</t>
  </si>
  <si>
    <t>Gross tuition &amp; fees</t>
  </si>
  <si>
    <t>Merit aid</t>
  </si>
  <si>
    <t>Sibling or other discount</t>
  </si>
  <si>
    <t>Employee tuition remission</t>
  </si>
  <si>
    <t>Auxiliary programs (summer, extended day, day care, other)</t>
  </si>
  <si>
    <t>Public aid (local, state, federal)</t>
  </si>
  <si>
    <t>Annual Giving including pledges</t>
  </si>
  <si>
    <t>Grants, foundation and other</t>
  </si>
  <si>
    <t>Other unrestricted gifts</t>
  </si>
  <si>
    <t>Endowment draw</t>
  </si>
  <si>
    <t>Auxiliary Services (food, health, store, busing, etc.)</t>
  </si>
  <si>
    <t>Operating investment income (short term, not endowment)</t>
  </si>
  <si>
    <t>Events net: Auctions / Fairs / Parent events (net total)</t>
  </si>
  <si>
    <t>Other income (rent, etc.)</t>
  </si>
  <si>
    <t>SELECT</t>
  </si>
  <si>
    <t>School Size</t>
  </si>
  <si>
    <t>Aid and Discounts as % of operating revenue</t>
  </si>
  <si>
    <t>benchmark (median) value</t>
  </si>
  <si>
    <t>Net tuition &amp; fees</t>
  </si>
  <si>
    <t>Aid and Discounts</t>
  </si>
  <si>
    <t>MEDIAN RATIOS</t>
  </si>
  <si>
    <t xml:space="preserve">Employee Professional Development </t>
  </si>
  <si>
    <t xml:space="preserve">Benefits and Payroll Taxes </t>
  </si>
  <si>
    <t xml:space="preserve">Technology </t>
  </si>
  <si>
    <t xml:space="preserve">Services: Instructional </t>
  </si>
  <si>
    <t xml:space="preserve">Services: Athletic </t>
  </si>
  <si>
    <t xml:space="preserve">Services: Auxiliary </t>
  </si>
  <si>
    <t xml:space="preserve">Services: Other services </t>
  </si>
  <si>
    <t xml:space="preserve">Net Operating Surplus (Deficit): Total Operating Income minus Total Operating Expenses </t>
  </si>
  <si>
    <t>benchmark (median) percentage of operating revenue</t>
  </si>
  <si>
    <t>SALARIES</t>
  </si>
  <si>
    <t>TOTAL REVENUES (added from above)</t>
  </si>
  <si>
    <t xml:space="preserve">Services: Total </t>
  </si>
  <si>
    <t xml:space="preserve">Total Employee Salaries: Total </t>
  </si>
  <si>
    <t xml:space="preserve">Teacher: Total </t>
  </si>
  <si>
    <t xml:space="preserve">Instructional Support: Teacher Assistants </t>
  </si>
  <si>
    <t xml:space="preserve">Instructional Support: Teacher Aides </t>
  </si>
  <si>
    <t xml:space="preserve">Instructional Support: Learning Specialist </t>
  </si>
  <si>
    <t xml:space="preserve">Instructional Support: ESL/ELL Instructors </t>
  </si>
  <si>
    <t xml:space="preserve">Instructional Support: Coaches </t>
  </si>
  <si>
    <t xml:space="preserve">Instructional Support: Interns </t>
  </si>
  <si>
    <t xml:space="preserve">Other Support: Dorm Supervisors </t>
  </si>
  <si>
    <t xml:space="preserve">Other Support: Day Care Providers </t>
  </si>
  <si>
    <t xml:space="preserve">Other Support: Other Instructional Support </t>
  </si>
  <si>
    <t xml:space="preserve">Instructional and Other Support: Total </t>
  </si>
  <si>
    <t xml:space="preserve">Administrator: Administrators </t>
  </si>
  <si>
    <t xml:space="preserve">Administrator: Other Administrative Professional Staff </t>
  </si>
  <si>
    <t xml:space="preserve">Administrator: Total </t>
  </si>
  <si>
    <t xml:space="preserve">Staff: Health </t>
  </si>
  <si>
    <t xml:space="preserve">Staff: Secretarial/Clerical </t>
  </si>
  <si>
    <t xml:space="preserve">Staff: Kitchen </t>
  </si>
  <si>
    <t xml:space="preserve">Staff: Plant/Maintenance </t>
  </si>
  <si>
    <t xml:space="preserve">Staff: Media/Library Staff (include head librarian) </t>
  </si>
  <si>
    <t xml:space="preserve">Staff: Technology/IT </t>
  </si>
  <si>
    <t xml:space="preserve">Staff: Technology Staff/Curriculum </t>
  </si>
  <si>
    <t xml:space="preserve">Staff: Security </t>
  </si>
  <si>
    <t xml:space="preserve">Staff: Auxiliary </t>
  </si>
  <si>
    <t xml:space="preserve">Staff: Total </t>
  </si>
  <si>
    <t xml:space="preserve">Other: Plant </t>
  </si>
  <si>
    <t xml:space="preserve">Other: Depreciation </t>
  </si>
  <si>
    <t xml:space="preserve">Other: Interest </t>
  </si>
  <si>
    <t xml:space="preserve">Other: Administrative </t>
  </si>
  <si>
    <t xml:space="preserve">Other: General </t>
  </si>
  <si>
    <t xml:space="preserve">Other Expenses: Total </t>
  </si>
  <si>
    <t xml:space="preserve">Other Services and Expenses: Total </t>
  </si>
  <si>
    <t xml:space="preserve">Total Operating Expenses: Grand Total </t>
  </si>
  <si>
    <t>EXPENSES</t>
  </si>
  <si>
    <t>Yes</t>
  </si>
  <si>
    <t>No</t>
  </si>
  <si>
    <t xml:space="preserve">Purchases of capitalized property, plant &amp; equipment </t>
  </si>
  <si>
    <t>Total Debt Service</t>
  </si>
  <si>
    <t xml:space="preserve">Provision for plant replacement, renewal, and special maintenance (PPRRSM) </t>
  </si>
  <si>
    <t>PPRRSM reserve - for capital projects</t>
  </si>
  <si>
    <t xml:space="preserve">Transfer from reserves </t>
  </si>
  <si>
    <t xml:space="preserve">Does your school have accumulated debt?  </t>
  </si>
  <si>
    <t xml:space="preserve">Total debt in dollars </t>
  </si>
  <si>
    <t xml:space="preserve">Teachers and Instructional and Other Support: Total </t>
  </si>
  <si>
    <t>YES</t>
  </si>
  <si>
    <t>NO</t>
  </si>
  <si>
    <t>Enrollment Category (select from dropdown in next cell)</t>
  </si>
  <si>
    <t>Enrollment under100</t>
  </si>
  <si>
    <t>Enrollment 201-300</t>
  </si>
  <si>
    <t>Enrollment 301-500</t>
  </si>
  <si>
    <t>Enrollment 501-700</t>
  </si>
  <si>
    <t>Enrollment 701-1000</t>
  </si>
  <si>
    <t>Enrollment 1001 and above</t>
  </si>
  <si>
    <t>all southeast schools</t>
  </si>
  <si>
    <t>ANTICIPATED EXPENSE BASED ON MEDIAN BENCHMARK</t>
  </si>
  <si>
    <t>25th percentile of schools in this enrollment category</t>
  </si>
  <si>
    <t>50th percentile of schools in this enrollment category</t>
  </si>
  <si>
    <t>75th percentile of schools in this enrollment category</t>
  </si>
  <si>
    <t>Your budget (reported on Revenues tab):</t>
  </si>
  <si>
    <t xml:space="preserve">ENROLLMENT SELECTED (on Revenues tab): </t>
  </si>
  <si>
    <t>K</t>
  </si>
  <si>
    <t>Discount: Need based financial aid (express as negative number)</t>
  </si>
  <si>
    <t>Discount: Merit aid (express as negative number)</t>
  </si>
  <si>
    <t>Discount: Sibling or other discount (express as negative number)</t>
  </si>
  <si>
    <t>Discount: Employee tuition remission (express as negative number)</t>
  </si>
  <si>
    <t xml:space="preserve">The calculated figures present a very high level glimpse at large budget categories. For more detailed benchmarking information about specific items - salary, facilites or program expense, etc., please consult one of the benchmark sources such as NAIS DASL. </t>
  </si>
  <si>
    <t>FUTURE ENROLLMENT - estimated based on 3-year averages for retention and new students</t>
  </si>
  <si>
    <t>to be updated each September</t>
  </si>
  <si>
    <t>3yr avg</t>
  </si>
  <si>
    <t>New</t>
  </si>
  <si>
    <t>Grade</t>
  </si>
  <si>
    <t>2010-11</t>
  </si>
  <si>
    <t>2011-12</t>
  </si>
  <si>
    <t>2012-13</t>
  </si>
  <si>
    <t>2013-14</t>
  </si>
  <si>
    <t>2014-15</t>
  </si>
  <si>
    <t>2015-16</t>
  </si>
  <si>
    <t>2016-17</t>
  </si>
  <si>
    <t>2017-18</t>
  </si>
  <si>
    <t>2018-19</t>
  </si>
  <si>
    <t>2019-20</t>
  </si>
  <si>
    <t>Retention</t>
  </si>
  <si>
    <t>PK3</t>
  </si>
  <si>
    <t>PK4/APK</t>
  </si>
  <si>
    <t>graduate</t>
  </si>
  <si>
    <t>TOTAL</t>
  </si>
  <si>
    <t>Retention Rate</t>
  </si>
  <si>
    <t>New Students</t>
  </si>
  <si>
    <t>1st</t>
  </si>
  <si>
    <t>2nd</t>
  </si>
  <si>
    <t>3rd</t>
  </si>
  <si>
    <t>4th</t>
  </si>
  <si>
    <t>5th</t>
  </si>
  <si>
    <t>6th</t>
  </si>
  <si>
    <t>7th</t>
  </si>
  <si>
    <t>8th</t>
  </si>
  <si>
    <t>9th</t>
  </si>
  <si>
    <t>10th</t>
  </si>
  <si>
    <t>11th</t>
  </si>
  <si>
    <t>12th</t>
  </si>
  <si>
    <t>Total</t>
  </si>
  <si>
    <t>Enrollment Forecast</t>
  </si>
  <si>
    <t>Enrollment History</t>
  </si>
  <si>
    <t xml:space="preserve">Staff: Other Staff </t>
  </si>
  <si>
    <t>PPRRSM in annual budget</t>
  </si>
  <si>
    <t>BUDGET GRAND TOTAL</t>
  </si>
  <si>
    <t>9 Year Average</t>
  </si>
  <si>
    <t>To use this sheet to predict enrollment, enter your enrollment history in the top chart. Enter your retention rate and number of new students per grade level in the bottom chart. The enrollment forecast will automatically populate based on those numbers.</t>
  </si>
  <si>
    <r>
      <t xml:space="preserve">Enter your </t>
    </r>
    <r>
      <rPr>
        <b/>
        <i/>
        <sz val="12"/>
        <color theme="1"/>
        <rFont val="Calibri"/>
        <family val="2"/>
      </rPr>
      <t>revenues</t>
    </r>
    <r>
      <rPr>
        <i/>
        <sz val="12"/>
        <color theme="1"/>
        <rFont val="Calibri"/>
        <family val="2"/>
      </rPr>
      <t xml:space="preserve"> in the boxes below and selectyour enrollment category or the category you want to see the banchmarks. </t>
    </r>
  </si>
  <si>
    <t>BENCHMARK KEY RATIOS AND BENCHMARK VALUES</t>
  </si>
  <si>
    <t>NOTE: financial aid, merit aid, discounts, and remissons are expressed as negative numbers because they are generally (but not always) reductions in gross tuition rather than specifically funded.</t>
  </si>
  <si>
    <t xml:space="preserve">Click on the Revenues tab below and enter the information requested regarding revenues. Based on your entries, the expense categories will auto calculate. Note that parts of the worksheet is locked so that the only entries you can make are into the unprotected cells. If you would like to alter the formulas, you must first unlock the worksheet under the Review tab (there is no password). For background information on the figures used, please refer to the Charts tab - which is also locked. </t>
  </si>
  <si>
    <t>If you would like more information on how to use this or other benchmarking tools, contact Damian Kavanagh, Executive Director of MISBO who created this instrument. He can be reached at 404-918-8850 or damiankavanagh@misbo.com</t>
  </si>
  <si>
    <t>www.misbo.com</t>
  </si>
  <si>
    <t>Operations + Debt Service</t>
  </si>
  <si>
    <t>theoretically should be offest or lower than your budgeted depreciation</t>
  </si>
  <si>
    <t>NAIS LD Schools</t>
  </si>
  <si>
    <t>2020-21</t>
  </si>
  <si>
    <t>Use of restricted gifts for operating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</si>
</sst>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
    <numFmt numFmtId="165" formatCode="&quot;$&quot;#,##0;[Red]\(&quot;$&quot;#,##0\)"/>
    <numFmt numFmtId="166" formatCode="&quot;$&quot;#,##0.00"/>
    <numFmt numFmtId="167" formatCode="&quot;$&quot;#,##0"/>
    <numFmt numFmtId="168" formatCode="_(&quot;$&quot;* #,##0_);_(&quot;$&quot;* \(#,##0\);_(&quot;$&quot;* &quot;-&quot;??_);_(@_)"/>
  </numFmts>
  <fonts count="26" x14ac:knownFonts="1">
    <font>
      <sz val="12"/>
      <color theme="1"/>
      <name val="Calibri"/>
      <family val="2"/>
      <scheme val="minor"/>
    </font>
    <font>
      <b/>
      <sz val="12"/>
      <color theme="1"/>
      <name val="Calibri"/>
      <family val="2"/>
      <scheme val="minor"/>
    </font>
    <font>
      <sz val="12"/>
      <color theme="1"/>
      <name val="Calibri"/>
      <family val="2"/>
    </font>
    <font>
      <u/>
      <sz val="12"/>
      <color theme="10"/>
      <name val="Calibri"/>
      <family val="2"/>
      <scheme val="minor"/>
    </font>
    <font>
      <u/>
      <sz val="12"/>
      <color theme="11"/>
      <name val="Calibri"/>
      <family val="2"/>
      <scheme val="minor"/>
    </font>
    <font>
      <i/>
      <sz val="12"/>
      <color theme="1"/>
      <name val="Calibri"/>
      <family val="2"/>
    </font>
    <font>
      <i/>
      <sz val="12"/>
      <color theme="1"/>
      <name val="Calibri"/>
      <family val="2"/>
      <scheme val="minor"/>
    </font>
    <font>
      <sz val="16"/>
      <color theme="1"/>
      <name val="Calibri"/>
      <family val="2"/>
    </font>
    <font>
      <b/>
      <sz val="24"/>
      <color theme="1"/>
      <name val="Calibri"/>
      <family val="2"/>
      <scheme val="minor"/>
    </font>
    <font>
      <sz val="12"/>
      <color theme="1"/>
      <name val="Calibri"/>
      <family val="2"/>
      <scheme val="minor"/>
    </font>
    <font>
      <sz val="10"/>
      <name val="Arial"/>
      <family val="2"/>
    </font>
    <font>
      <b/>
      <sz val="10"/>
      <name val="Arial"/>
      <family val="2"/>
    </font>
    <font>
      <sz val="12"/>
      <name val="Calibri"/>
      <family val="2"/>
      <scheme val="minor"/>
    </font>
    <font>
      <b/>
      <sz val="12"/>
      <color theme="0"/>
      <name val="Calibri"/>
      <family val="2"/>
    </font>
    <font>
      <b/>
      <sz val="18"/>
      <name val="Calibri"/>
      <family val="2"/>
    </font>
    <font>
      <b/>
      <sz val="11"/>
      <color theme="1"/>
      <name val="Calibri"/>
      <family val="2"/>
      <scheme val="minor"/>
    </font>
    <font>
      <b/>
      <sz val="12"/>
      <color theme="0"/>
      <name val="Calibri"/>
      <family val="2"/>
      <scheme val="minor"/>
    </font>
    <font>
      <u/>
      <sz val="11"/>
      <color theme="1"/>
      <name val="Calibri"/>
      <family val="2"/>
      <scheme val="minor"/>
    </font>
    <font>
      <b/>
      <u/>
      <sz val="11"/>
      <color theme="1"/>
      <name val="Calibri"/>
      <family val="2"/>
      <scheme val="minor"/>
    </font>
    <font>
      <b/>
      <sz val="12"/>
      <color theme="1"/>
      <name val="Calibri"/>
      <family val="2"/>
    </font>
    <font>
      <i/>
      <sz val="10"/>
      <name val="Arial"/>
      <family val="2"/>
    </font>
    <font>
      <sz val="14"/>
      <color theme="0"/>
      <name val="Calibri"/>
      <family val="2"/>
      <scheme val="minor"/>
    </font>
    <font>
      <b/>
      <i/>
      <sz val="12"/>
      <color theme="1"/>
      <name val="Calibri"/>
      <family val="2"/>
    </font>
    <font>
      <sz val="18"/>
      <color theme="1"/>
      <name val="Calibri"/>
      <family val="2"/>
    </font>
    <font>
      <i/>
      <sz val="18"/>
      <color theme="1"/>
      <name val="Calibri"/>
      <family val="2"/>
    </font>
    <font>
      <i/>
      <sz val="9"/>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indexed="64"/>
      </bottom>
      <diagonal/>
    </border>
    <border>
      <left style="thin">
        <color auto="1"/>
      </left>
      <right/>
      <top style="thin">
        <color auto="1"/>
      </top>
      <bottom style="thin">
        <color auto="1"/>
      </bottom>
      <diagonal/>
    </border>
    <border>
      <left/>
      <right/>
      <top/>
      <bottom style="thin">
        <color indexed="64"/>
      </bottom>
      <diagonal/>
    </border>
    <border>
      <left style="thin">
        <color indexed="64"/>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9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177">
    <xf numFmtId="0" fontId="0" fillId="0" borderId="0" xfId="0"/>
    <xf numFmtId="0" fontId="2" fillId="0" borderId="0" xfId="0" applyFont="1" applyBorder="1" applyAlignment="1">
      <alignment vertical="center" wrapText="1"/>
    </xf>
    <xf numFmtId="0" fontId="0" fillId="0" borderId="0" xfId="0" applyBorder="1"/>
    <xf numFmtId="0" fontId="2" fillId="0" borderId="0" xfId="0" applyFont="1" applyProtection="1"/>
    <xf numFmtId="0" fontId="8" fillId="0" borderId="0" xfId="0" applyFont="1"/>
    <xf numFmtId="0" fontId="0" fillId="0" borderId="0" xfId="0" applyAlignment="1">
      <alignment vertical="top" wrapText="1"/>
    </xf>
    <xf numFmtId="0" fontId="0" fillId="0" borderId="0" xfId="0" applyFill="1" applyBorder="1"/>
    <xf numFmtId="164" fontId="2" fillId="0" borderId="0" xfId="98" applyNumberFormat="1" applyFont="1" applyProtection="1"/>
    <xf numFmtId="0" fontId="0" fillId="0" borderId="0" xfId="0" applyFont="1" applyAlignment="1">
      <alignment vertical="center"/>
    </xf>
    <xf numFmtId="165" fontId="0" fillId="0" borderId="0" xfId="0" applyNumberFormat="1" applyAlignment="1">
      <alignment vertical="center"/>
    </xf>
    <xf numFmtId="0" fontId="5" fillId="0" borderId="0" xfId="0" applyFont="1" applyAlignment="1" applyProtection="1">
      <alignment vertical="top" wrapText="1"/>
    </xf>
    <xf numFmtId="0" fontId="0" fillId="0" borderId="0" xfId="0" applyBorder="1" applyAlignment="1">
      <alignment horizontal="center"/>
    </xf>
    <xf numFmtId="165" fontId="0" fillId="0" borderId="0" xfId="0" applyNumberFormat="1" applyAlignment="1">
      <alignment horizontal="center" vertical="center"/>
    </xf>
    <xf numFmtId="0" fontId="2" fillId="0" borderId="0" xfId="0" applyFont="1" applyFill="1" applyBorder="1" applyAlignment="1" applyProtection="1">
      <alignment horizontal="right" vertical="center" wrapText="1"/>
    </xf>
    <xf numFmtId="0" fontId="0" fillId="0" borderId="0" xfId="0" applyAlignment="1">
      <alignment vertical="center"/>
    </xf>
    <xf numFmtId="0" fontId="11" fillId="0" borderId="0" xfId="0" applyFont="1" applyAlignment="1">
      <alignment vertical="center"/>
    </xf>
    <xf numFmtId="165" fontId="11" fillId="0" borderId="0" xfId="0" applyNumberFormat="1" applyFont="1" applyAlignment="1">
      <alignment vertical="center"/>
    </xf>
    <xf numFmtId="0" fontId="2" fillId="0" borderId="0" xfId="0" applyFont="1" applyBorder="1" applyAlignment="1">
      <alignment horizontal="right" vertical="center" wrapText="1"/>
    </xf>
    <xf numFmtId="0" fontId="10"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10" fontId="2" fillId="0" borderId="0" xfId="98" applyNumberFormat="1" applyFont="1" applyAlignment="1" applyProtection="1">
      <alignment horizontal="center"/>
    </xf>
    <xf numFmtId="168" fontId="9" fillId="0" borderId="0" xfId="97" applyNumberFormat="1" applyFont="1" applyAlignment="1">
      <alignment horizontal="center" vertical="center"/>
    </xf>
    <xf numFmtId="10" fontId="0" fillId="0" borderId="0" xfId="0" applyNumberFormat="1" applyAlignment="1">
      <alignment vertical="center"/>
    </xf>
    <xf numFmtId="0" fontId="0" fillId="0" borderId="0" xfId="0" applyFont="1" applyFill="1" applyBorder="1" applyProtection="1"/>
    <xf numFmtId="0" fontId="14" fillId="2" borderId="2" xfId="0" applyFont="1" applyFill="1" applyBorder="1" applyAlignment="1" applyProtection="1">
      <alignment horizontal="center" vertical="center" wrapText="1"/>
    </xf>
    <xf numFmtId="0" fontId="2" fillId="0" borderId="0" xfId="0" applyFont="1" applyAlignment="1" applyProtection="1">
      <alignment horizontal="left" vertical="center"/>
    </xf>
    <xf numFmtId="0" fontId="0" fillId="0" borderId="0" xfId="0" applyBorder="1" applyAlignment="1">
      <alignment horizontal="left" vertical="center"/>
    </xf>
    <xf numFmtId="0" fontId="13" fillId="3" borderId="0" xfId="0" applyFont="1" applyFill="1" applyAlignment="1" applyProtection="1">
      <alignment horizontal="left" vertical="center"/>
    </xf>
    <xf numFmtId="0" fontId="13" fillId="3" borderId="4" xfId="0"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67" fontId="0" fillId="0" borderId="0" xfId="0" applyNumberFormat="1" applyAlignment="1">
      <alignment horizontal="center" vertical="center"/>
    </xf>
    <xf numFmtId="167" fontId="2" fillId="0" borderId="0" xfId="0" applyNumberFormat="1" applyFont="1" applyFill="1" applyBorder="1" applyAlignment="1" applyProtection="1">
      <alignment horizontal="right" vertical="center" wrapText="1"/>
    </xf>
    <xf numFmtId="167" fontId="2" fillId="0" borderId="0" xfId="97" applyNumberFormat="1" applyFont="1" applyProtection="1"/>
    <xf numFmtId="167" fontId="0" fillId="0" borderId="0" xfId="0" applyNumberFormat="1" applyAlignment="1">
      <alignment vertical="center"/>
    </xf>
    <xf numFmtId="0" fontId="13" fillId="3" borderId="1" xfId="0" applyFont="1" applyFill="1" applyBorder="1" applyAlignment="1" applyProtection="1">
      <alignment horizontal="center" vertical="center" wrapText="1"/>
      <protection locked="0"/>
    </xf>
    <xf numFmtId="0" fontId="1" fillId="0" borderId="0" xfId="0" applyFont="1" applyBorder="1" applyAlignment="1">
      <alignment horizontal="right" vertical="center" wrapText="1"/>
    </xf>
    <xf numFmtId="0" fontId="1" fillId="0" borderId="3" xfId="0" applyFont="1" applyBorder="1" applyAlignment="1">
      <alignment horizontal="right" vertical="center" wrapText="1"/>
    </xf>
    <xf numFmtId="167" fontId="16" fillId="3" borderId="0" xfId="97" applyNumberFormat="1" applyFont="1" applyFill="1" applyAlignment="1">
      <alignment horizontal="center" vertical="center"/>
    </xf>
    <xf numFmtId="0" fontId="0" fillId="0" borderId="5" xfId="0" applyBorder="1" applyAlignment="1">
      <alignment horizontal="center" vertical="center" wrapText="1"/>
    </xf>
    <xf numFmtId="0" fontId="6" fillId="0" borderId="0"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wrapText="1"/>
    </xf>
    <xf numFmtId="167" fontId="0" fillId="0" borderId="0" xfId="0" applyNumberFormat="1" applyBorder="1" applyAlignment="1">
      <alignment horizontal="center" vertical="center"/>
    </xf>
    <xf numFmtId="0" fontId="2" fillId="0" borderId="0" xfId="0" applyFont="1" applyAlignment="1" applyProtection="1">
      <alignment horizontal="center"/>
    </xf>
    <xf numFmtId="0" fontId="0" fillId="0" borderId="0" xfId="0" applyAlignment="1">
      <alignment horizontal="center"/>
    </xf>
    <xf numFmtId="0" fontId="2" fillId="0" borderId="0" xfId="0" applyFont="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2" borderId="1" xfId="0" applyNumberFormat="1" applyFont="1" applyFill="1" applyBorder="1" applyAlignment="1" applyProtection="1">
      <alignment horizontal="center"/>
      <protection locked="0"/>
    </xf>
    <xf numFmtId="10" fontId="2" fillId="0" borderId="0" xfId="0" applyNumberFormat="1" applyFont="1" applyAlignment="1" applyProtection="1">
      <alignment horizontal="center"/>
    </xf>
    <xf numFmtId="10" fontId="2" fillId="0" borderId="6" xfId="98" applyNumberFormat="1" applyFont="1" applyBorder="1" applyAlignment="1" applyProtection="1">
      <alignment horizontal="center"/>
    </xf>
    <xf numFmtId="0" fontId="2" fillId="0" borderId="0" xfId="0" applyFont="1" applyBorder="1" applyAlignment="1" applyProtection="1">
      <alignment horizontal="center" vertical="center"/>
    </xf>
    <xf numFmtId="165" fontId="2" fillId="0" borderId="0" xfId="98" applyNumberFormat="1" applyFont="1" applyAlignment="1" applyProtection="1">
      <alignment horizontal="center"/>
    </xf>
    <xf numFmtId="167" fontId="2" fillId="0" borderId="0" xfId="98" applyNumberFormat="1" applyFont="1" applyAlignment="1" applyProtection="1">
      <alignment horizontal="center"/>
    </xf>
    <xf numFmtId="165" fontId="2" fillId="0" borderId="0" xfId="0" applyNumberFormat="1" applyFont="1" applyAlignment="1" applyProtection="1">
      <alignment horizontal="center"/>
    </xf>
    <xf numFmtId="2" fontId="0" fillId="0" borderId="0" xfId="0" applyNumberFormat="1"/>
    <xf numFmtId="0" fontId="0" fillId="0" borderId="0" xfId="0" applyFont="1"/>
    <xf numFmtId="0" fontId="1" fillId="0" borderId="0" xfId="0" applyFont="1"/>
    <xf numFmtId="2" fontId="0" fillId="0" borderId="0" xfId="0" applyNumberFormat="1" applyAlignment="1">
      <alignment horizontal="center"/>
    </xf>
    <xf numFmtId="0" fontId="17" fillId="0" borderId="7" xfId="0" applyFont="1" applyBorder="1" applyAlignment="1">
      <alignment horizontal="left"/>
    </xf>
    <xf numFmtId="0" fontId="17" fillId="0" borderId="7" xfId="0" applyFont="1" applyFill="1" applyBorder="1" applyAlignment="1">
      <alignment horizontal="left"/>
    </xf>
    <xf numFmtId="2" fontId="17" fillId="0" borderId="0" xfId="0" applyNumberFormat="1" applyFont="1" applyAlignment="1">
      <alignment horizontal="left"/>
    </xf>
    <xf numFmtId="0" fontId="17" fillId="0" borderId="0" xfId="0" applyFont="1" applyAlignment="1">
      <alignment horizontal="center"/>
    </xf>
    <xf numFmtId="0" fontId="15" fillId="0" borderId="0" xfId="0" applyFont="1" applyAlignment="1">
      <alignment horizontal="center"/>
    </xf>
    <xf numFmtId="1" fontId="0" fillId="0" borderId="0" xfId="0" applyNumberFormat="1" applyAlignment="1">
      <alignment horizontal="center"/>
    </xf>
    <xf numFmtId="0" fontId="15" fillId="0" borderId="0" xfId="0" applyFont="1"/>
    <xf numFmtId="0" fontId="0" fillId="0" borderId="0" xfId="0" applyFill="1"/>
    <xf numFmtId="0" fontId="15" fillId="4" borderId="0" xfId="0" applyFont="1" applyFill="1" applyAlignment="1">
      <alignment horizontal="center"/>
    </xf>
    <xf numFmtId="0" fontId="18" fillId="0" borderId="0" xfId="0" applyFont="1"/>
    <xf numFmtId="0" fontId="15" fillId="0" borderId="0" xfId="0" applyFont="1" applyFill="1" applyAlignment="1">
      <alignment horizontal="center"/>
    </xf>
    <xf numFmtId="0" fontId="15" fillId="4" borderId="12" xfId="0" applyFont="1" applyFill="1" applyBorder="1" applyAlignment="1">
      <alignment horizontal="center"/>
    </xf>
    <xf numFmtId="1" fontId="0" fillId="0" borderId="0" xfId="0" applyNumberFormat="1" applyFill="1"/>
    <xf numFmtId="1" fontId="0" fillId="4" borderId="12" xfId="0" applyNumberFormat="1" applyFill="1" applyBorder="1"/>
    <xf numFmtId="1" fontId="0" fillId="4" borderId="0" xfId="0" applyNumberFormat="1" applyFill="1"/>
    <xf numFmtId="0" fontId="0" fillId="0" borderId="12" xfId="0" applyBorder="1"/>
    <xf numFmtId="0" fontId="2" fillId="0" borderId="0" xfId="0" applyFont="1" applyFill="1" applyBorder="1" applyAlignment="1">
      <alignment vertical="center" wrapText="1"/>
    </xf>
    <xf numFmtId="0" fontId="0" fillId="0" borderId="0" xfId="0" applyFont="1" applyFill="1" applyAlignment="1">
      <alignment vertical="center"/>
    </xf>
    <xf numFmtId="0" fontId="1" fillId="0" borderId="0" xfId="0" applyFont="1" applyAlignment="1">
      <alignment vertical="center"/>
    </xf>
    <xf numFmtId="10" fontId="0" fillId="0" borderId="0" xfId="0" applyNumberFormat="1" applyAlignment="1">
      <alignment horizontal="center" vertical="center"/>
    </xf>
    <xf numFmtId="167" fontId="1" fillId="0" borderId="0" xfId="97" applyNumberFormat="1" applyFont="1" applyAlignment="1">
      <alignment vertical="center"/>
    </xf>
    <xf numFmtId="0" fontId="6" fillId="0" borderId="0" xfId="0" applyFont="1" applyAlignment="1">
      <alignment horizontal="right" vertical="center"/>
    </xf>
    <xf numFmtId="167" fontId="6" fillId="0" borderId="0" xfId="98" applyNumberFormat="1" applyFont="1" applyAlignment="1">
      <alignment horizontal="right" vertical="center"/>
    </xf>
    <xf numFmtId="0" fontId="20" fillId="0" borderId="0" xfId="0" applyFont="1" applyAlignment="1">
      <alignment vertical="center"/>
    </xf>
    <xf numFmtId="168" fontId="6" fillId="0" borderId="0" xfId="97" applyNumberFormat="1" applyFont="1" applyAlignment="1">
      <alignment vertical="center"/>
    </xf>
    <xf numFmtId="168" fontId="6" fillId="0" borderId="0" xfId="97" applyNumberFormat="1" applyFont="1" applyAlignment="1">
      <alignment horizontal="center" vertical="center"/>
    </xf>
    <xf numFmtId="0" fontId="0" fillId="0" borderId="0" xfId="0" applyFont="1" applyAlignment="1">
      <alignment horizontal="center" vertical="center"/>
    </xf>
    <xf numFmtId="1" fontId="0" fillId="0" borderId="0" xfId="0" applyNumberFormat="1"/>
    <xf numFmtId="0" fontId="17" fillId="0" borderId="8" xfId="0" applyFont="1" applyBorder="1" applyAlignment="1">
      <alignment horizontal="left"/>
    </xf>
    <xf numFmtId="0" fontId="17" fillId="0" borderId="9" xfId="0" applyFont="1" applyBorder="1" applyAlignment="1">
      <alignment horizontal="left"/>
    </xf>
    <xf numFmtId="0" fontId="15" fillId="0" borderId="0" xfId="0" applyFont="1" applyFill="1"/>
    <xf numFmtId="1" fontId="0" fillId="8" borderId="8" xfId="0" applyNumberFormat="1" applyFill="1" applyBorder="1" applyAlignment="1" applyProtection="1">
      <alignment horizontal="center"/>
    </xf>
    <xf numFmtId="1" fontId="0" fillId="0" borderId="9" xfId="0" applyNumberFormat="1" applyBorder="1" applyAlignment="1" applyProtection="1">
      <alignment horizontal="center"/>
    </xf>
    <xf numFmtId="2" fontId="0" fillId="0" borderId="0" xfId="0" applyNumberFormat="1" applyProtection="1"/>
    <xf numFmtId="1" fontId="0" fillId="0" borderId="0" xfId="0" applyNumberFormat="1" applyAlignment="1" applyProtection="1">
      <alignment horizontal="center"/>
    </xf>
    <xf numFmtId="1" fontId="0" fillId="7" borderId="8" xfId="0" applyNumberFormat="1" applyFill="1" applyBorder="1" applyAlignment="1" applyProtection="1">
      <alignment horizontal="center"/>
    </xf>
    <xf numFmtId="1" fontId="0" fillId="8" borderId="9" xfId="0" applyNumberFormat="1" applyFill="1" applyBorder="1" applyAlignment="1" applyProtection="1">
      <alignment horizontal="center"/>
    </xf>
    <xf numFmtId="1" fontId="0" fillId="6" borderId="8" xfId="0" applyNumberFormat="1" applyFill="1" applyBorder="1" applyAlignment="1" applyProtection="1">
      <alignment horizontal="center"/>
    </xf>
    <xf numFmtId="1" fontId="0" fillId="7" borderId="9" xfId="0" applyNumberFormat="1" applyFill="1" applyBorder="1" applyAlignment="1" applyProtection="1">
      <alignment horizontal="center"/>
    </xf>
    <xf numFmtId="1" fontId="0" fillId="5" borderId="8" xfId="0" applyNumberFormat="1" applyFill="1" applyBorder="1" applyAlignment="1" applyProtection="1">
      <alignment horizontal="center"/>
    </xf>
    <xf numFmtId="1" fontId="0" fillId="6" borderId="9" xfId="0" applyNumberFormat="1" applyFill="1" applyBorder="1" applyAlignment="1" applyProtection="1">
      <alignment horizontal="center"/>
    </xf>
    <xf numFmtId="1" fontId="0" fillId="0" borderId="8" xfId="0" applyNumberFormat="1" applyBorder="1" applyAlignment="1" applyProtection="1">
      <alignment horizontal="center"/>
    </xf>
    <xf numFmtId="1" fontId="0" fillId="5" borderId="9" xfId="0" applyNumberFormat="1" applyFill="1" applyBorder="1" applyAlignment="1" applyProtection="1">
      <alignment horizontal="center"/>
    </xf>
    <xf numFmtId="1" fontId="0" fillId="0" borderId="16" xfId="0" applyNumberFormat="1" applyBorder="1" applyAlignment="1" applyProtection="1">
      <alignment horizontal="center"/>
    </xf>
    <xf numFmtId="1" fontId="0" fillId="5" borderId="17" xfId="0" applyNumberFormat="1" applyFill="1" applyBorder="1" applyAlignment="1" applyProtection="1">
      <alignment horizontal="center"/>
    </xf>
    <xf numFmtId="0" fontId="0" fillId="0" borderId="8" xfId="0" applyBorder="1" applyProtection="1"/>
    <xf numFmtId="0" fontId="0" fillId="0" borderId="9" xfId="0" applyBorder="1" applyProtection="1"/>
    <xf numFmtId="0" fontId="0" fillId="0" borderId="0" xfId="0" applyAlignment="1" applyProtection="1">
      <alignment horizontal="center"/>
    </xf>
    <xf numFmtId="1" fontId="0" fillId="0" borderId="10" xfId="0" applyNumberFormat="1" applyBorder="1" applyAlignment="1" applyProtection="1">
      <alignment horizontal="center"/>
    </xf>
    <xf numFmtId="1" fontId="0" fillId="0" borderId="11" xfId="0" applyNumberFormat="1" applyBorder="1" applyAlignment="1" applyProtection="1">
      <alignment horizontal="center"/>
    </xf>
    <xf numFmtId="1" fontId="0" fillId="0" borderId="8" xfId="0" applyNumberFormat="1" applyBorder="1" applyAlignment="1" applyProtection="1">
      <alignment horizontal="center"/>
      <protection locked="0"/>
    </xf>
    <xf numFmtId="1" fontId="0" fillId="5" borderId="0" xfId="0" applyNumberFormat="1" applyFill="1" applyBorder="1" applyAlignment="1" applyProtection="1">
      <alignment horizontal="center"/>
      <protection locked="0"/>
    </xf>
    <xf numFmtId="1" fontId="0" fillId="6" borderId="0" xfId="0" applyNumberFormat="1" applyFill="1" applyBorder="1" applyAlignment="1" applyProtection="1">
      <alignment horizontal="center"/>
      <protection locked="0"/>
    </xf>
    <xf numFmtId="1" fontId="0" fillId="7" borderId="0" xfId="0" applyNumberFormat="1" applyFill="1" applyBorder="1" applyAlignment="1" applyProtection="1">
      <alignment horizontal="center"/>
      <protection locked="0"/>
    </xf>
    <xf numFmtId="1" fontId="0" fillId="8" borderId="0" xfId="0" applyNumberFormat="1" applyFill="1" applyBorder="1" applyAlignment="1" applyProtection="1">
      <alignment horizontal="center"/>
      <protection locked="0"/>
    </xf>
    <xf numFmtId="1" fontId="0" fillId="0" borderId="0" xfId="0" applyNumberFormat="1" applyBorder="1" applyAlignment="1" applyProtection="1">
      <alignment horizontal="center"/>
      <protection locked="0"/>
    </xf>
    <xf numFmtId="1" fontId="0" fillId="8" borderId="8" xfId="0" applyNumberFormat="1" applyFill="1" applyBorder="1" applyAlignment="1" applyProtection="1">
      <alignment horizontal="center"/>
      <protection locked="0"/>
    </xf>
    <xf numFmtId="1" fontId="0" fillId="7" borderId="8" xfId="0" applyNumberFormat="1" applyFill="1" applyBorder="1" applyAlignment="1" applyProtection="1">
      <alignment horizontal="center"/>
      <protection locked="0"/>
    </xf>
    <xf numFmtId="1" fontId="0" fillId="6" borderId="8" xfId="0" applyNumberFormat="1" applyFill="1" applyBorder="1" applyAlignment="1" applyProtection="1">
      <alignment horizontal="center"/>
      <protection locked="0"/>
    </xf>
    <xf numFmtId="1" fontId="0" fillId="5" borderId="8" xfId="0" applyNumberFormat="1" applyFill="1" applyBorder="1" applyAlignment="1" applyProtection="1">
      <alignment horizontal="center"/>
      <protection locked="0"/>
    </xf>
    <xf numFmtId="1" fontId="0" fillId="5" borderId="10" xfId="0" applyNumberFormat="1" applyFill="1" applyBorder="1" applyAlignment="1" applyProtection="1">
      <alignment horizontal="center"/>
      <protection locked="0"/>
    </xf>
    <xf numFmtId="1" fontId="0" fillId="6" borderId="3" xfId="0" applyNumberFormat="1" applyFill="1" applyBorder="1" applyAlignment="1" applyProtection="1">
      <alignment horizontal="center"/>
      <protection locked="0"/>
    </xf>
    <xf numFmtId="1" fontId="0" fillId="7" borderId="3" xfId="0" applyNumberFormat="1" applyFill="1" applyBorder="1" applyAlignment="1" applyProtection="1">
      <alignment horizontal="center"/>
      <protection locked="0"/>
    </xf>
    <xf numFmtId="1" fontId="0" fillId="8" borderId="3" xfId="0" applyNumberFormat="1" applyFill="1" applyBorder="1" applyAlignment="1" applyProtection="1">
      <alignment horizontal="center"/>
      <protection locked="0"/>
    </xf>
    <xf numFmtId="1" fontId="0" fillId="0" borderId="3" xfId="0" applyNumberFormat="1" applyBorder="1" applyAlignment="1" applyProtection="1">
      <alignment horizontal="center"/>
      <protection locked="0"/>
    </xf>
    <xf numFmtId="1" fontId="0" fillId="5" borderId="3" xfId="0" applyNumberFormat="1" applyFill="1" applyBorder="1" applyAlignment="1" applyProtection="1">
      <alignment horizontal="center"/>
      <protection locked="0"/>
    </xf>
    <xf numFmtId="1" fontId="0" fillId="0" borderId="0" xfId="0" applyNumberFormat="1" applyProtection="1">
      <protection locked="0"/>
    </xf>
    <xf numFmtId="0" fontId="0" fillId="0" borderId="0" xfId="0" applyProtection="1">
      <protection locked="0"/>
    </xf>
    <xf numFmtId="0" fontId="5" fillId="0" borderId="0" xfId="0" applyFont="1" applyAlignment="1" applyProtection="1">
      <alignment horizontal="center" vertical="center" wrapText="1"/>
    </xf>
    <xf numFmtId="0" fontId="2" fillId="0" borderId="6" xfId="0" applyFont="1" applyBorder="1" applyAlignment="1" applyProtection="1">
      <alignment horizontal="center"/>
    </xf>
    <xf numFmtId="0" fontId="2" fillId="0" borderId="6" xfId="0" applyFont="1" applyBorder="1" applyProtection="1"/>
    <xf numFmtId="0" fontId="5" fillId="0" borderId="6" xfId="0" applyFont="1" applyBorder="1" applyAlignment="1" applyProtection="1">
      <alignment vertical="top" wrapText="1"/>
    </xf>
    <xf numFmtId="165" fontId="2" fillId="2" borderId="2" xfId="0" applyNumberFormat="1" applyFont="1" applyFill="1" applyBorder="1" applyAlignment="1" applyProtection="1">
      <alignment horizontal="center"/>
      <protection locked="0"/>
    </xf>
    <xf numFmtId="165" fontId="7" fillId="0" borderId="13" xfId="0" applyNumberFormat="1" applyFont="1" applyBorder="1" applyAlignment="1" applyProtection="1">
      <alignment horizontal="center"/>
    </xf>
    <xf numFmtId="0" fontId="24" fillId="0" borderId="14" xfId="0" applyFont="1" applyBorder="1" applyAlignment="1">
      <alignment horizontal="right" vertical="center" wrapText="1"/>
    </xf>
    <xf numFmtId="0" fontId="11" fillId="0" borderId="0" xfId="0" applyFont="1" applyFill="1" applyAlignment="1">
      <alignment vertical="center"/>
    </xf>
    <xf numFmtId="168" fontId="25" fillId="0" borderId="0" xfId="97" applyNumberFormat="1" applyFont="1" applyAlignment="1">
      <alignment horizontal="left" vertical="center"/>
    </xf>
    <xf numFmtId="10" fontId="5" fillId="0" borderId="0" xfId="98" applyNumberFormat="1" applyFont="1" applyAlignment="1" applyProtection="1">
      <alignment horizontal="center"/>
    </xf>
    <xf numFmtId="167" fontId="5" fillId="0" borderId="0" xfId="97" applyNumberFormat="1" applyFont="1" applyProtection="1"/>
    <xf numFmtId="9" fontId="2" fillId="0" borderId="0" xfId="98" applyFont="1" applyProtection="1"/>
    <xf numFmtId="9" fontId="2" fillId="0" borderId="0" xfId="98" applyFont="1" applyFill="1" applyBorder="1" applyAlignment="1" applyProtection="1">
      <alignment horizontal="right" vertical="center" wrapText="1"/>
    </xf>
    <xf numFmtId="9" fontId="5" fillId="0" borderId="0" xfId="98" applyFont="1" applyProtection="1"/>
    <xf numFmtId="9" fontId="0" fillId="0" borderId="0" xfId="98" applyFont="1" applyAlignment="1">
      <alignment vertical="center"/>
    </xf>
    <xf numFmtId="0" fontId="1" fillId="0" borderId="0" xfId="0" applyFont="1" applyFill="1" applyBorder="1" applyAlignment="1">
      <alignment horizontal="center" wrapText="1"/>
    </xf>
    <xf numFmtId="10" fontId="2" fillId="0" borderId="0" xfId="0" applyNumberFormat="1" applyFont="1" applyFill="1" applyBorder="1" applyAlignment="1">
      <alignment horizontal="center" vertical="center" wrapText="1"/>
    </xf>
    <xf numFmtId="0" fontId="0" fillId="0" borderId="0" xfId="0" applyFill="1" applyBorder="1" applyAlignment="1">
      <alignment horizontal="center"/>
    </xf>
    <xf numFmtId="166" fontId="6" fillId="0" borderId="0" xfId="0" applyNumberFormat="1" applyFont="1" applyFill="1" applyBorder="1" applyAlignment="1">
      <alignment horizontal="center"/>
    </xf>
    <xf numFmtId="10" fontId="2" fillId="0" borderId="0" xfId="98" applyNumberFormat="1" applyFont="1" applyFill="1" applyBorder="1" applyAlignment="1">
      <alignment horizontal="center" vertical="center" wrapText="1"/>
    </xf>
    <xf numFmtId="0" fontId="1" fillId="0" borderId="0" xfId="0" applyFont="1" applyFill="1" applyBorder="1" applyAlignment="1">
      <alignment horizontal="center"/>
    </xf>
    <xf numFmtId="165" fontId="0" fillId="0" borderId="0" xfId="0" applyNumberFormat="1" applyFill="1" applyAlignment="1">
      <alignment horizontal="center" vertical="center"/>
    </xf>
    <xf numFmtId="0" fontId="1" fillId="0" borderId="0" xfId="0" applyFont="1" applyFill="1" applyBorder="1" applyAlignment="1">
      <alignment wrapText="1"/>
    </xf>
    <xf numFmtId="0" fontId="0" fillId="0" borderId="0" xfId="0" applyFill="1" applyBorder="1" applyAlignment="1">
      <alignment wrapText="1"/>
    </xf>
    <xf numFmtId="0" fontId="1" fillId="0" borderId="0" xfId="0" applyFont="1" applyFill="1" applyBorder="1"/>
    <xf numFmtId="165" fontId="0" fillId="0" borderId="0" xfId="0" applyNumberFormat="1" applyFill="1" applyBorder="1"/>
    <xf numFmtId="0" fontId="5" fillId="0" borderId="0" xfId="0" applyFont="1" applyFill="1" applyBorder="1" applyAlignment="1">
      <alignment vertical="center" wrapText="1"/>
    </xf>
    <xf numFmtId="0" fontId="10" fillId="0" borderId="0" xfId="0" applyFont="1" applyFill="1" applyAlignment="1">
      <alignment vertical="center"/>
    </xf>
    <xf numFmtId="10" fontId="0" fillId="0" borderId="0" xfId="98" applyNumberFormat="1" applyFont="1" applyFill="1" applyBorder="1"/>
    <xf numFmtId="165" fontId="0" fillId="0" borderId="0" xfId="0" applyNumberFormat="1" applyFill="1" applyAlignment="1">
      <alignment vertical="center"/>
    </xf>
    <xf numFmtId="168" fontId="0" fillId="0" borderId="0" xfId="97" applyNumberFormat="1" applyFont="1" applyFill="1" applyBorder="1"/>
    <xf numFmtId="164" fontId="0" fillId="0" borderId="0" xfId="98" applyNumberFormat="1" applyFont="1" applyFill="1" applyAlignment="1">
      <alignment vertical="center"/>
    </xf>
    <xf numFmtId="0" fontId="19" fillId="0" borderId="0" xfId="0" applyFont="1" applyFill="1" applyBorder="1" applyAlignment="1">
      <alignment vertical="center" wrapText="1"/>
    </xf>
    <xf numFmtId="165" fontId="1" fillId="0" borderId="0" xfId="0" applyNumberFormat="1" applyFont="1" applyFill="1" applyBorder="1"/>
    <xf numFmtId="0" fontId="0" fillId="0" borderId="0" xfId="0" applyFont="1" applyFill="1" applyBorder="1"/>
    <xf numFmtId="0" fontId="0" fillId="0" borderId="0" xfId="0" applyAlignment="1">
      <alignment horizontal="left" vertical="top" wrapText="1"/>
    </xf>
    <xf numFmtId="0" fontId="0" fillId="0" borderId="0" xfId="0" applyAlignment="1">
      <alignment horizontal="center" wrapText="1"/>
    </xf>
    <xf numFmtId="0" fontId="23" fillId="0" borderId="6" xfId="0" applyFont="1" applyBorder="1" applyAlignment="1" applyProtection="1">
      <alignment horizontal="center" vertical="center"/>
    </xf>
    <xf numFmtId="0" fontId="23" fillId="0" borderId="0" xfId="0" applyFont="1" applyBorder="1" applyAlignment="1" applyProtection="1">
      <alignment horizontal="center" vertical="center"/>
    </xf>
    <xf numFmtId="0" fontId="5" fillId="0" borderId="0" xfId="0" applyFont="1" applyAlignment="1" applyProtection="1">
      <alignment horizontal="left" vertical="top" wrapText="1"/>
    </xf>
    <xf numFmtId="0" fontId="0" fillId="0" borderId="0" xfId="0" applyFill="1" applyBorder="1" applyAlignment="1">
      <alignment horizontal="center" vertical="center" wrapText="1"/>
    </xf>
    <xf numFmtId="0" fontId="0" fillId="0" borderId="3" xfId="0" applyFill="1" applyBorder="1" applyAlignment="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5" xfId="0" applyNumberFormat="1" applyFont="1" applyFill="1" applyBorder="1" applyAlignment="1" applyProtection="1">
      <alignment horizontal="center" vertical="center" wrapText="1"/>
    </xf>
    <xf numFmtId="0" fontId="1" fillId="0" borderId="14" xfId="0" applyFont="1" applyBorder="1" applyAlignment="1">
      <alignment horizontal="center"/>
    </xf>
    <xf numFmtId="0" fontId="1" fillId="0" borderId="15" xfId="0" applyFont="1" applyBorder="1" applyAlignment="1">
      <alignment horizontal="center"/>
    </xf>
    <xf numFmtId="0" fontId="21" fillId="3" borderId="0" xfId="0" applyFont="1" applyFill="1" applyAlignment="1">
      <alignment horizontal="center" vertical="center" wrapText="1"/>
    </xf>
  </cellXfs>
  <cellStyles count="99">
    <cellStyle name="Currency" xfId="9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Normal" xfId="0" builtinId="0"/>
    <cellStyle name="Percent" xfId="98"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247650</xdr:colOff>
      <xdr:row>9</xdr:row>
      <xdr:rowOff>188765</xdr:rowOff>
    </xdr:from>
    <xdr:to>
      <xdr:col>2</xdr:col>
      <xdr:colOff>2295526</xdr:colOff>
      <xdr:row>17</xdr:row>
      <xdr:rowOff>129507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0" y="2169965"/>
          <a:ext cx="2047876" cy="1540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tabSelected="1" workbookViewId="0">
      <selection activeCell="A18" sqref="A18"/>
    </sheetView>
  </sheetViews>
  <sheetFormatPr defaultColWidth="11" defaultRowHeight="15.75" x14ac:dyDescent="0.5"/>
  <cols>
    <col min="1" max="1" width="57" customWidth="1"/>
    <col min="2" max="2" width="21" customWidth="1"/>
    <col min="3" max="3" width="32.625" customWidth="1"/>
    <col min="4" max="4" width="14.5" customWidth="1"/>
    <col min="8" max="8" width="11" customWidth="1"/>
  </cols>
  <sheetData>
    <row r="1" spans="1:7" ht="30.75" x14ac:dyDescent="0.9">
      <c r="A1" s="4" t="s">
        <v>7</v>
      </c>
    </row>
    <row r="2" spans="1:7" ht="15" customHeight="1" x14ac:dyDescent="0.5">
      <c r="A2" s="163" t="s">
        <v>162</v>
      </c>
      <c r="B2" s="163"/>
      <c r="C2" s="5"/>
      <c r="D2" s="5"/>
      <c r="E2" s="5"/>
      <c r="F2" s="5"/>
      <c r="G2" s="5"/>
    </row>
    <row r="3" spans="1:7" x14ac:dyDescent="0.5">
      <c r="A3" s="163"/>
      <c r="B3" s="163"/>
      <c r="C3" s="5"/>
      <c r="D3" s="5"/>
      <c r="E3" s="5"/>
      <c r="F3" s="5"/>
      <c r="G3" s="5"/>
    </row>
    <row r="4" spans="1:7" x14ac:dyDescent="0.5">
      <c r="A4" s="163"/>
      <c r="B4" s="163"/>
      <c r="C4" s="5"/>
      <c r="D4" s="5"/>
      <c r="E4" s="5"/>
      <c r="F4" s="5"/>
      <c r="G4" s="5"/>
    </row>
    <row r="5" spans="1:7" x14ac:dyDescent="0.5">
      <c r="A5" s="163"/>
      <c r="B5" s="163"/>
      <c r="C5" s="5"/>
      <c r="D5" s="5"/>
      <c r="E5" s="5"/>
      <c r="F5" s="5"/>
      <c r="G5" s="5"/>
    </row>
    <row r="6" spans="1:7" x14ac:dyDescent="0.5">
      <c r="A6" s="163"/>
      <c r="B6" s="163"/>
      <c r="C6" s="5"/>
      <c r="D6" s="5"/>
      <c r="E6" s="5"/>
      <c r="F6" s="5"/>
      <c r="G6" s="5"/>
    </row>
    <row r="7" spans="1:7" x14ac:dyDescent="0.5">
      <c r="A7" s="163"/>
      <c r="B7" s="163"/>
      <c r="C7" s="5"/>
      <c r="D7" s="5"/>
      <c r="E7" s="5"/>
      <c r="F7" s="5"/>
      <c r="G7" s="5"/>
    </row>
    <row r="8" spans="1:7" x14ac:dyDescent="0.5">
      <c r="A8" s="5"/>
      <c r="B8" s="5"/>
      <c r="C8" s="5"/>
      <c r="D8" s="5"/>
      <c r="E8" s="5"/>
      <c r="F8" s="5"/>
      <c r="G8" s="5"/>
    </row>
    <row r="9" spans="1:7" ht="15.75" customHeight="1" x14ac:dyDescent="0.5">
      <c r="A9" s="163" t="s">
        <v>116</v>
      </c>
      <c r="B9" s="163"/>
      <c r="C9" s="5"/>
      <c r="D9" s="5"/>
      <c r="E9" s="5"/>
      <c r="F9" s="5"/>
      <c r="G9" s="5"/>
    </row>
    <row r="10" spans="1:7" x14ac:dyDescent="0.5">
      <c r="A10" s="163"/>
      <c r="B10" s="163"/>
      <c r="C10" s="5"/>
      <c r="D10" s="5"/>
      <c r="E10" s="5"/>
      <c r="F10" s="5"/>
      <c r="G10" s="5"/>
    </row>
    <row r="11" spans="1:7" x14ac:dyDescent="0.5">
      <c r="A11" s="163"/>
      <c r="B11" s="163"/>
      <c r="C11" s="5"/>
      <c r="D11" s="5"/>
      <c r="E11" s="5"/>
      <c r="F11" s="5"/>
      <c r="G11" s="5"/>
    </row>
    <row r="12" spans="1:7" x14ac:dyDescent="0.5">
      <c r="A12" s="163"/>
      <c r="B12" s="163"/>
      <c r="C12" s="5"/>
      <c r="D12" s="5"/>
      <c r="E12" s="5"/>
      <c r="F12" s="5"/>
      <c r="G12" s="5"/>
    </row>
    <row r="14" spans="1:7" x14ac:dyDescent="0.5">
      <c r="A14" s="164" t="s">
        <v>163</v>
      </c>
      <c r="B14" s="164"/>
    </row>
    <row r="15" spans="1:7" x14ac:dyDescent="0.5">
      <c r="A15" s="164"/>
      <c r="B15" s="164"/>
    </row>
    <row r="16" spans="1:7" x14ac:dyDescent="0.5">
      <c r="A16" s="164"/>
      <c r="B16" s="164"/>
    </row>
    <row r="19" spans="3:3" x14ac:dyDescent="0.5">
      <c r="C19" s="45" t="s">
        <v>164</v>
      </c>
    </row>
  </sheetData>
  <sheetProtection sheet="1" objects="1" scenarios="1"/>
  <mergeCells count="3">
    <mergeCell ref="A9:B12"/>
    <mergeCell ref="A2:B7"/>
    <mergeCell ref="A14:B16"/>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90" zoomScaleNormal="90" workbookViewId="0">
      <selection activeCell="B2" sqref="B2"/>
    </sheetView>
  </sheetViews>
  <sheetFormatPr defaultColWidth="10.8125" defaultRowHeight="15.75" x14ac:dyDescent="0.5"/>
  <cols>
    <col min="1" max="1" width="58.125" style="3" customWidth="1"/>
    <col min="2" max="2" width="19.9375" style="3" customWidth="1"/>
    <col min="3" max="3" width="16" style="3" customWidth="1"/>
    <col min="4" max="4" width="12.6875" style="3" customWidth="1"/>
    <col min="5" max="6" width="10.8125" style="3"/>
    <col min="7" max="9" width="12.75" style="3" customWidth="1"/>
    <col min="10" max="10" width="13.375" style="3" hidden="1" customWidth="1"/>
    <col min="11" max="16384" width="10.8125" style="3"/>
  </cols>
  <sheetData>
    <row r="1" spans="1:10" ht="46.5" x14ac:dyDescent="0.5">
      <c r="A1" s="128" t="s">
        <v>159</v>
      </c>
      <c r="B1" s="25" t="s">
        <v>8</v>
      </c>
      <c r="D1" s="165" t="s">
        <v>160</v>
      </c>
      <c r="E1" s="166"/>
      <c r="F1" s="166"/>
      <c r="G1" s="166"/>
      <c r="H1" s="166"/>
      <c r="I1" s="166"/>
    </row>
    <row r="2" spans="1:10" s="26" customFormat="1" ht="45" customHeight="1" x14ac:dyDescent="0.5">
      <c r="A2" s="28" t="s">
        <v>97</v>
      </c>
      <c r="B2" s="35" t="s">
        <v>100</v>
      </c>
      <c r="C2" s="46" t="s">
        <v>1</v>
      </c>
      <c r="D2" s="47" t="s">
        <v>35</v>
      </c>
      <c r="E2" s="46" t="s">
        <v>5</v>
      </c>
      <c r="F2" s="44"/>
      <c r="G2" s="48" t="s">
        <v>10</v>
      </c>
      <c r="H2" s="48" t="s">
        <v>11</v>
      </c>
      <c r="I2" s="48" t="s">
        <v>12</v>
      </c>
      <c r="J2" s="27" t="s">
        <v>13</v>
      </c>
    </row>
    <row r="3" spans="1:10" x14ac:dyDescent="0.5">
      <c r="A3" s="1" t="s">
        <v>18</v>
      </c>
      <c r="B3" s="49">
        <v>5826470</v>
      </c>
      <c r="C3" s="50">
        <f t="shared" ref="C3:C18" si="0">SUM(B3)/$B$19</f>
        <v>1.0307596613097199</v>
      </c>
      <c r="D3" s="51">
        <f>HLOOKUP($B$2,Charts!$B$1:$J$79,3,FALSE)</f>
        <v>0.97460999228230394</v>
      </c>
      <c r="E3" s="50">
        <f t="shared" ref="E3:E18" si="1">SUM(C3)-D3</f>
        <v>5.6149669027415916E-2</v>
      </c>
      <c r="F3" s="52"/>
      <c r="G3" s="53">
        <f>HLOOKUP($B$2,Charts!$B$1:$J$79,6,FALSE)</f>
        <v>4043513</v>
      </c>
      <c r="H3" s="53">
        <f>HLOOKUP($B$2,Charts!$B$1:$J$79,5,FALSE)</f>
        <v>5868348</v>
      </c>
      <c r="I3" s="53">
        <f>HLOOKUP($B$2,Charts!$B$1:$J$79,4,FALSE)</f>
        <v>8377850</v>
      </c>
      <c r="J3" s="24" t="s">
        <v>104</v>
      </c>
    </row>
    <row r="4" spans="1:10" x14ac:dyDescent="0.5">
      <c r="A4" s="17" t="s">
        <v>112</v>
      </c>
      <c r="B4" s="49">
        <v>-932830</v>
      </c>
      <c r="C4" s="50">
        <f t="shared" si="0"/>
        <v>-0.16502677176052499</v>
      </c>
      <c r="D4" s="51">
        <f>HLOOKUP($B$2,Charts!$B$1:$J$79,7,FALSE)</f>
        <v>-6.9942222739650908E-2</v>
      </c>
      <c r="E4" s="50">
        <f t="shared" si="1"/>
        <v>-9.5084549020874085E-2</v>
      </c>
      <c r="F4" s="52" t="s">
        <v>6</v>
      </c>
      <c r="G4" s="53">
        <f>HLOOKUP($B$2,Charts!$B$1:$J$79,10,FALSE)</f>
        <v>-162224</v>
      </c>
      <c r="H4" s="53">
        <f>HLOOKUP($B$2,Charts!$B$1:$J$79,9,FALSE)</f>
        <v>-421138</v>
      </c>
      <c r="I4" s="53">
        <f>HLOOKUP($B$2,Charts!$B$1:$J$79,8,FALSE)</f>
        <v>-1005053</v>
      </c>
      <c r="J4" s="6" t="s">
        <v>98</v>
      </c>
    </row>
    <row r="5" spans="1:10" x14ac:dyDescent="0.5">
      <c r="A5" s="17" t="s">
        <v>113</v>
      </c>
      <c r="B5" s="49">
        <v>0</v>
      </c>
      <c r="C5" s="50">
        <f t="shared" si="0"/>
        <v>0</v>
      </c>
      <c r="D5" s="51">
        <f>HLOOKUP($B$2,Charts!$B$1:$J$79,11,FALSE)</f>
        <v>-1.7014804457629651E-2</v>
      </c>
      <c r="E5" s="50">
        <f t="shared" si="1"/>
        <v>1.7014804457629651E-2</v>
      </c>
      <c r="F5" s="52" t="s">
        <v>6</v>
      </c>
      <c r="G5" s="53">
        <f>HLOOKUP($B$2,Charts!$B$1:$J$79,14,FALSE)</f>
        <v>-42575</v>
      </c>
      <c r="H5" s="53">
        <f>HLOOKUP($B$2,Charts!$B$1:$J$79,13,FALSE)</f>
        <v>-102450</v>
      </c>
      <c r="I5" s="53">
        <f>HLOOKUP($B$2,Charts!$B$1:$J$79,12,FALSE)</f>
        <v>-158270</v>
      </c>
      <c r="J5" s="2" t="s">
        <v>9</v>
      </c>
    </row>
    <row r="6" spans="1:10" x14ac:dyDescent="0.5">
      <c r="A6" s="17" t="s">
        <v>114</v>
      </c>
      <c r="B6" s="49">
        <v>0</v>
      </c>
      <c r="C6" s="50">
        <f t="shared" si="0"/>
        <v>0</v>
      </c>
      <c r="D6" s="51">
        <f>HLOOKUP($B$2,Charts!$B$1:$J$79,15,FALSE)</f>
        <v>-2.2662158393961896E-2</v>
      </c>
      <c r="E6" s="50">
        <f t="shared" si="1"/>
        <v>2.2662158393961896E-2</v>
      </c>
      <c r="F6" s="52" t="s">
        <v>6</v>
      </c>
      <c r="G6" s="53">
        <f>HLOOKUP($B$2,Charts!$B$1:$J$79,18,FALSE)</f>
        <v>-55221</v>
      </c>
      <c r="H6" s="53">
        <f>HLOOKUP($B$2,Charts!$B$1:$J$79,17,FALSE)</f>
        <v>-136454</v>
      </c>
      <c r="I6" s="53">
        <f>HLOOKUP($B$2,Charts!$B$1:$J$79,16,FALSE)</f>
        <v>-192139</v>
      </c>
      <c r="J6" s="6" t="s">
        <v>99</v>
      </c>
    </row>
    <row r="7" spans="1:10" x14ac:dyDescent="0.5">
      <c r="A7" s="17" t="s">
        <v>115</v>
      </c>
      <c r="B7" s="49">
        <v>-204060</v>
      </c>
      <c r="C7" s="50">
        <f t="shared" si="0"/>
        <v>-3.6100214450063492E-2</v>
      </c>
      <c r="D7" s="51">
        <f>HLOOKUP($B$2,Charts!$B$1:$J$79,19,FALSE)</f>
        <v>-3.3624541974584247E-2</v>
      </c>
      <c r="E7" s="50">
        <f t="shared" si="1"/>
        <v>-2.4756724754792445E-3</v>
      </c>
      <c r="F7" s="52" t="s">
        <v>6</v>
      </c>
      <c r="G7" s="53">
        <f>HLOOKUP($B$2,Charts!$B$1:$J$79,22,FALSE)</f>
        <v>-112220</v>
      </c>
      <c r="H7" s="53">
        <f>HLOOKUP($B$2,Charts!$B$1:$J$79,21,FALSE)</f>
        <v>-202461</v>
      </c>
      <c r="I7" s="53">
        <f>HLOOKUP($B$2,Charts!$B$1:$J$79,20,FALSE)</f>
        <v>-305020</v>
      </c>
      <c r="J7" s="6" t="s">
        <v>100</v>
      </c>
    </row>
    <row r="8" spans="1:10" x14ac:dyDescent="0.5">
      <c r="A8" s="8" t="s">
        <v>22</v>
      </c>
      <c r="B8" s="49">
        <v>127167</v>
      </c>
      <c r="C8" s="50">
        <f t="shared" si="0"/>
        <v>2.2497088949187612E-2</v>
      </c>
      <c r="D8" s="51">
        <f>HLOOKUP($B$2,Charts!$B$1:$J$79,23,FALSE)</f>
        <v>2.9936091099040111E-2</v>
      </c>
      <c r="E8" s="50">
        <f t="shared" si="1"/>
        <v>-7.4390021498524986E-3</v>
      </c>
      <c r="F8" s="52"/>
      <c r="G8" s="53">
        <f>HLOOKUP($B$2,Charts!$B$1:$J$79,26,FALSE)</f>
        <v>89678</v>
      </c>
      <c r="H8" s="53">
        <f>HLOOKUP($B$2,Charts!$B$1:$J$79,25,FALSE)</f>
        <v>180252</v>
      </c>
      <c r="I8" s="53">
        <f>HLOOKUP($B$2,Charts!$B$1:$J$79,24,FALSE)</f>
        <v>419488</v>
      </c>
      <c r="J8" s="6" t="s">
        <v>101</v>
      </c>
    </row>
    <row r="9" spans="1:10" x14ac:dyDescent="0.5">
      <c r="A9" s="8" t="s">
        <v>28</v>
      </c>
      <c r="B9" s="49">
        <v>26379</v>
      </c>
      <c r="C9" s="50">
        <f t="shared" si="0"/>
        <v>4.666703699785479E-3</v>
      </c>
      <c r="D9" s="51">
        <f>HLOOKUP($B$2,Charts!$B$1:$J$79,27,FALSE)</f>
        <v>1.0795141920409245E-2</v>
      </c>
      <c r="E9" s="50">
        <f t="shared" si="1"/>
        <v>-6.1284382206237657E-3</v>
      </c>
      <c r="F9" s="52"/>
      <c r="G9" s="53">
        <f>HLOOKUP($B$2,Charts!$B$1:$J$79,30,FALSE)</f>
        <v>32306</v>
      </c>
      <c r="H9" s="53">
        <f>HLOOKUP($B$2,Charts!$B$1:$J$79,29,FALSE)</f>
        <v>65000</v>
      </c>
      <c r="I9" s="53">
        <f>HLOOKUP($B$2,Charts!$B$1:$J$79,28,FALSE)</f>
        <v>150444</v>
      </c>
      <c r="J9" s="6" t="s">
        <v>102</v>
      </c>
    </row>
    <row r="10" spans="1:10" x14ac:dyDescent="0.5">
      <c r="A10" s="8" t="s">
        <v>29</v>
      </c>
      <c r="B10" s="49">
        <v>3433</v>
      </c>
      <c r="C10" s="50">
        <f t="shared" si="0"/>
        <v>6.0733135453821412E-4</v>
      </c>
      <c r="D10" s="51">
        <f>HLOOKUP($B$2,Charts!$B$1:$J$79,31,FALSE)</f>
        <v>7.9399099220142343E-3</v>
      </c>
      <c r="E10" s="50">
        <f t="shared" si="1"/>
        <v>-7.3325785674760204E-3</v>
      </c>
      <c r="F10" s="52"/>
      <c r="G10" s="53">
        <f>HLOOKUP($B$2,Charts!$B$1:$J$79,34,FALSE)</f>
        <v>3049</v>
      </c>
      <c r="H10" s="53">
        <f>HLOOKUP($B$2,Charts!$B$1:$J$79,33,FALSE)</f>
        <v>47808</v>
      </c>
      <c r="I10" s="53">
        <f>HLOOKUP($B$2,Charts!$B$1:$J$79,32,FALSE)</f>
        <v>204003</v>
      </c>
      <c r="J10" s="6" t="s">
        <v>103</v>
      </c>
    </row>
    <row r="11" spans="1:10" x14ac:dyDescent="0.5">
      <c r="A11" s="8" t="s">
        <v>23</v>
      </c>
      <c r="B11" s="49">
        <v>0</v>
      </c>
      <c r="C11" s="50">
        <f t="shared" si="0"/>
        <v>0</v>
      </c>
      <c r="D11" s="51">
        <f>HLOOKUP($B$2,Charts!$B$1:$J$79,35,FALSE)</f>
        <v>1.6607910646783453E-2</v>
      </c>
      <c r="E11" s="50">
        <f t="shared" si="1"/>
        <v>-1.6607910646783453E-2</v>
      </c>
      <c r="F11" s="52"/>
      <c r="G11" s="53">
        <f>HLOOKUP($B$2,Charts!$B$1:$J$79,38,FALSE)</f>
        <v>9300</v>
      </c>
      <c r="H11" s="53">
        <f>HLOOKUP($B$2,Charts!$B$1:$J$79,37,FALSE)</f>
        <v>100000</v>
      </c>
      <c r="I11" s="53">
        <f>HLOOKUP($B$2,Charts!$B$1:$J$79,36,FALSE)</f>
        <v>215262</v>
      </c>
      <c r="J11" s="24" t="s">
        <v>167</v>
      </c>
    </row>
    <row r="12" spans="1:10" x14ac:dyDescent="0.5">
      <c r="A12" s="8" t="s">
        <v>24</v>
      </c>
      <c r="B12" s="49">
        <v>329703</v>
      </c>
      <c r="C12" s="50">
        <f t="shared" si="0"/>
        <v>5.8327692859106557E-2</v>
      </c>
      <c r="D12" s="51">
        <f>HLOOKUP($B$2,Charts!$B$1:$J$79,39,FALSE)</f>
        <v>3.4600256725082781E-2</v>
      </c>
      <c r="E12" s="50">
        <f t="shared" si="1"/>
        <v>2.3727436134023776E-2</v>
      </c>
      <c r="F12" s="44"/>
      <c r="G12" s="53">
        <f>HLOOKUP($B$2,Charts!$B$1:$J$79,42,FALSE)</f>
        <v>124556</v>
      </c>
      <c r="H12" s="53">
        <f>HLOOKUP($B$2,Charts!$B$1:$J$79,41,FALSE)</f>
        <v>208336</v>
      </c>
      <c r="I12" s="53">
        <f>HLOOKUP($B$2,Charts!$B$1:$J$79,40,FALSE)</f>
        <v>370003</v>
      </c>
      <c r="J12" s="24" t="s">
        <v>32</v>
      </c>
    </row>
    <row r="13" spans="1:10" x14ac:dyDescent="0.5">
      <c r="A13" s="8" t="s">
        <v>25</v>
      </c>
      <c r="B13" s="49">
        <v>0</v>
      </c>
      <c r="C13" s="50">
        <f t="shared" si="0"/>
        <v>0</v>
      </c>
      <c r="D13" s="51">
        <f>HLOOKUP($B$2,Charts!$B$1:$J$79,43,FALSE)</f>
        <v>5.1484523005028713E-3</v>
      </c>
      <c r="E13" s="50">
        <f t="shared" si="1"/>
        <v>-5.1484523005028713E-3</v>
      </c>
      <c r="F13" s="44"/>
      <c r="G13" s="53">
        <f>HLOOKUP($B$2,Charts!$B$1:$J$79,46,FALSE)</f>
        <v>12220</v>
      </c>
      <c r="H13" s="53">
        <f>HLOOKUP($B$2,Charts!$B$1:$J$79,45,FALSE)</f>
        <v>31000</v>
      </c>
      <c r="I13" s="53">
        <f>HLOOKUP($B$2,Charts!$B$1:$J$79,44,FALSE)</f>
        <v>101340</v>
      </c>
    </row>
    <row r="14" spans="1:10" x14ac:dyDescent="0.5">
      <c r="A14" s="8" t="s">
        <v>26</v>
      </c>
      <c r="B14" s="49">
        <v>12548</v>
      </c>
      <c r="C14" s="50">
        <f t="shared" si="0"/>
        <v>2.2198642111114215E-3</v>
      </c>
      <c r="D14" s="51">
        <f>HLOOKUP($B$2,Charts!$B$1:$J$79,47,FALSE)</f>
        <v>4.8284178623393533E-3</v>
      </c>
      <c r="E14" s="50">
        <f t="shared" si="1"/>
        <v>-2.6085536512279318E-3</v>
      </c>
      <c r="F14" s="44"/>
      <c r="G14" s="53">
        <f>HLOOKUP($B$2,Charts!$B$1:$J$79,50,FALSE)</f>
        <v>16774</v>
      </c>
      <c r="H14" s="53">
        <f>HLOOKUP($B$2,Charts!$B$1:$J$79,49,FALSE)</f>
        <v>29073</v>
      </c>
      <c r="I14" s="53">
        <f>HLOOKUP($B$2,Charts!$B$1:$J$79,48,FALSE)</f>
        <v>50080</v>
      </c>
    </row>
    <row r="15" spans="1:10" x14ac:dyDescent="0.5">
      <c r="A15" s="8" t="s">
        <v>30</v>
      </c>
      <c r="B15" s="49">
        <v>184378</v>
      </c>
      <c r="C15" s="50">
        <f t="shared" si="0"/>
        <v>3.2618275702606128E-2</v>
      </c>
      <c r="D15" s="51">
        <f>HLOOKUP($B$2,Charts!$B$1:$J$79,51,FALSE)</f>
        <v>2.4507131187713069E-2</v>
      </c>
      <c r="E15" s="50">
        <f t="shared" si="1"/>
        <v>8.1111445148930594E-3</v>
      </c>
      <c r="F15" s="44"/>
      <c r="G15" s="53">
        <f>HLOOKUP($B$2,Charts!$B$1:$J$79,54,FALSE)</f>
        <v>64954</v>
      </c>
      <c r="H15" s="53">
        <f>HLOOKUP($B$2,Charts!$B$1:$J$79,53,FALSE)</f>
        <v>147563</v>
      </c>
      <c r="I15" s="53">
        <f>HLOOKUP($B$2,Charts!$B$1:$J$79,52,FALSE)</f>
        <v>219990</v>
      </c>
    </row>
    <row r="16" spans="1:10" x14ac:dyDescent="0.5">
      <c r="A16" s="8" t="s">
        <v>31</v>
      </c>
      <c r="B16" s="49">
        <v>2144</v>
      </c>
      <c r="C16" s="50">
        <f t="shared" si="0"/>
        <v>3.792946181561116E-4</v>
      </c>
      <c r="D16" s="51">
        <f>HLOOKUP($B$2,Charts!$B$1:$J$79,55,FALSE)</f>
        <v>1.2734281567527681E-2</v>
      </c>
      <c r="E16" s="50">
        <f t="shared" si="1"/>
        <v>-1.2354986949371569E-2</v>
      </c>
      <c r="F16" s="44"/>
      <c r="G16" s="53">
        <f>HLOOKUP($B$2,Charts!$B$1:$J$79,58,FALSE)</f>
        <v>10794</v>
      </c>
      <c r="H16" s="53">
        <f>HLOOKUP($B$2,Charts!$B$1:$J$79,57,FALSE)</f>
        <v>76676</v>
      </c>
      <c r="I16" s="53">
        <f>HLOOKUP($B$2,Charts!$B$1:$J$79,56,FALSE)</f>
        <v>143642</v>
      </c>
    </row>
    <row r="17" spans="1:9" x14ac:dyDescent="0.5">
      <c r="A17" s="8" t="s">
        <v>169</v>
      </c>
      <c r="B17" s="132">
        <v>0</v>
      </c>
      <c r="C17" s="50">
        <f t="shared" ref="C17" si="2">SUM(B17)/$B$19</f>
        <v>0</v>
      </c>
      <c r="D17" s="51">
        <f>HLOOKUP($B$2,Charts!$B$1:$J$79,59,FALSE)</f>
        <v>0</v>
      </c>
      <c r="E17" s="50">
        <f t="shared" ref="E17" si="3">SUM(C17)-D17</f>
        <v>0</v>
      </c>
      <c r="F17" s="44"/>
      <c r="G17" s="53">
        <f>HLOOKUP($B$2,Charts!$B$1:$J$79,62,FALSE)</f>
        <v>0</v>
      </c>
      <c r="H17" s="53">
        <f>HLOOKUP($B$2,Charts!$B$1:$J$79,61,FALSE)</f>
        <v>0</v>
      </c>
      <c r="I17" s="53">
        <f>HLOOKUP($B$2,Charts!$B$1:$J$79,60,FALSE)</f>
        <v>0</v>
      </c>
    </row>
    <row r="18" spans="1:9" ht="16.149999999999999" thickBot="1" x14ac:dyDescent="0.55000000000000004">
      <c r="A18" s="8" t="s">
        <v>27</v>
      </c>
      <c r="B18" s="132">
        <v>277266</v>
      </c>
      <c r="C18" s="50">
        <f t="shared" si="0"/>
        <v>4.9051073506377066E-2</v>
      </c>
      <c r="D18" s="51">
        <f>HLOOKUP($B$2,Charts!$B$1:$J$79,63,FALSE)</f>
        <v>2.1536142052109977E-2</v>
      </c>
      <c r="E18" s="50">
        <f t="shared" si="1"/>
        <v>2.7514931454267089E-2</v>
      </c>
      <c r="F18" s="44"/>
      <c r="G18" s="53">
        <f>HLOOKUP($B$2,Charts!$B$1:$J$79,66,FALSE)</f>
        <v>53300</v>
      </c>
      <c r="H18" s="53">
        <f>HLOOKUP($B$2,Charts!$B$1:$J$79,65,FALSE)</f>
        <v>129674</v>
      </c>
      <c r="I18" s="53">
        <f>HLOOKUP($B$2,Charts!$B$1:$J$79,64,FALSE)</f>
        <v>437500</v>
      </c>
    </row>
    <row r="19" spans="1:9" ht="23.65" thickBot="1" x14ac:dyDescent="0.7">
      <c r="A19" s="134" t="s">
        <v>3</v>
      </c>
      <c r="B19" s="133">
        <f>SUM(B3:B18)</f>
        <v>5652598</v>
      </c>
      <c r="C19" s="44"/>
      <c r="D19" s="129"/>
      <c r="E19" s="44"/>
      <c r="F19" s="44"/>
      <c r="G19" s="54">
        <f>HLOOKUP($B$2,Charts!$B$1:$J$79,66,FALSE)</f>
        <v>53300</v>
      </c>
      <c r="H19" s="54">
        <f>HLOOKUP($B$2,Charts!$B$1:$J$79,65,FALSE)</f>
        <v>129674</v>
      </c>
      <c r="I19" s="54">
        <f>HLOOKUP($B$2,Charts!$B$1:$J$79,64,FALSE)</f>
        <v>437500</v>
      </c>
    </row>
    <row r="20" spans="1:9" ht="34.15" customHeight="1" x14ac:dyDescent="0.5">
      <c r="A20" s="167" t="s">
        <v>161</v>
      </c>
      <c r="B20" s="167"/>
      <c r="C20" s="167"/>
      <c r="D20" s="131"/>
      <c r="E20" s="10"/>
      <c r="F20" s="10"/>
    </row>
    <row r="21" spans="1:9" x14ac:dyDescent="0.5">
      <c r="A21" s="10"/>
      <c r="B21" s="10"/>
      <c r="D21" s="130"/>
    </row>
    <row r="22" spans="1:9" x14ac:dyDescent="0.5">
      <c r="A22" s="17" t="s">
        <v>36</v>
      </c>
      <c r="B22" s="55">
        <f>SUM(B3:B7)</f>
        <v>4689580</v>
      </c>
      <c r="C22" s="50">
        <f>SUM(B22)/$B$19</f>
        <v>0.82963267509913141</v>
      </c>
      <c r="D22" s="51">
        <f>HLOOKUP($B$2,Charts!$B$1:$J$79,74,FALSE)</f>
        <v>0.83136626471647723</v>
      </c>
      <c r="E22" s="50">
        <f>SUM(C22)-D22</f>
        <v>-1.733589617345821E-3</v>
      </c>
      <c r="F22" s="44"/>
      <c r="G22" s="21">
        <f>HLOOKUP($B$2,Charts!$B$1:$J$79,75,FALSE)</f>
        <v>0.89801609704408092</v>
      </c>
      <c r="H22" s="21">
        <f>HLOOKUP($B$2,Charts!$B$1:$J$79,74,FALSE)</f>
        <v>0.83136626471647723</v>
      </c>
      <c r="I22" s="21">
        <f>HLOOKUP($B$2,Charts!$B$1:$J$79,73,FALSE)</f>
        <v>0.74396707541820239</v>
      </c>
    </row>
    <row r="23" spans="1:9" x14ac:dyDescent="0.5">
      <c r="A23" s="17" t="s">
        <v>37</v>
      </c>
      <c r="B23" s="55">
        <f>SUM(B4:B7)</f>
        <v>-1136890</v>
      </c>
      <c r="C23" s="50">
        <f>SUM(B23)/$B$19*-1</f>
        <v>0.20112698621058847</v>
      </c>
      <c r="D23" s="51">
        <f>HLOOKUP($B$2,Charts!$B$1:$J$79,78,FALSE)</f>
        <v>0.14324372756582671</v>
      </c>
      <c r="E23" s="50">
        <f>SUM(C23)-D23</f>
        <v>5.7883258644761765E-2</v>
      </c>
      <c r="F23" s="44"/>
      <c r="G23" s="21">
        <f>HLOOKUP($B$2,Charts!$B$1:$J$79,79,FALSE)</f>
        <v>9.1052207766540022E-2</v>
      </c>
      <c r="H23" s="21">
        <f>HLOOKUP($B$2,Charts!$B$1:$J$79,78,FALSE)</f>
        <v>0.14324372756582671</v>
      </c>
      <c r="I23" s="21">
        <f>HLOOKUP($B$2,Charts!$B$1:$J$79,77,FALSE)</f>
        <v>0.18390297171817407</v>
      </c>
    </row>
  </sheetData>
  <sheetProtection sheet="1" selectLockedCells="1"/>
  <mergeCells count="2">
    <mergeCell ref="D1:I1"/>
    <mergeCell ref="A20:C20"/>
  </mergeCells>
  <dataValidations count="1">
    <dataValidation type="list" allowBlank="1" showInputMessage="1" showErrorMessage="1" sqref="B2">
      <formula1>$J$3:$J$12</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69"/>
  <sheetViews>
    <sheetView topLeftCell="A25" workbookViewId="0">
      <selection activeCell="C15" sqref="C15"/>
    </sheetView>
  </sheetViews>
  <sheetFormatPr defaultRowHeight="15.75" x14ac:dyDescent="0.5"/>
  <cols>
    <col min="1" max="1" width="2.5" style="14" customWidth="1"/>
    <col min="2" max="2" width="55.875" style="8" customWidth="1"/>
    <col min="3" max="3" width="21.9375" style="8" customWidth="1"/>
    <col min="4" max="4" width="12.9375" style="20" customWidth="1"/>
    <col min="5" max="5" width="11.5" style="14" customWidth="1"/>
    <col min="6" max="6" width="12.6875" style="31" customWidth="1"/>
    <col min="7" max="8" width="12.6875" style="34" customWidth="1"/>
    <col min="9" max="10" width="10.9375" style="142" customWidth="1"/>
    <col min="11" max="11" width="3.6875" style="14" hidden="1" customWidth="1"/>
    <col min="12" max="14" width="9" style="14" hidden="1" customWidth="1"/>
    <col min="15" max="15" width="9" style="14"/>
    <col min="16" max="16" width="3.6875" style="14" customWidth="1"/>
    <col min="17" max="19" width="9" style="14" customWidth="1"/>
    <col min="20" max="20" width="9" style="14"/>
    <col min="21" max="21" width="3.6875" style="14" customWidth="1"/>
    <col min="22" max="24" width="9" style="14" customWidth="1"/>
    <col min="25" max="248" width="9" style="14"/>
    <col min="249" max="249" width="98.125" style="14" customWidth="1"/>
    <col min="250" max="250" width="11.5" style="14" customWidth="1"/>
    <col min="251" max="251" width="10.125" style="14" bestFit="1" customWidth="1"/>
    <col min="252" max="504" width="9" style="14"/>
    <col min="505" max="505" width="98.125" style="14" customWidth="1"/>
    <col min="506" max="506" width="11.5" style="14" customWidth="1"/>
    <col min="507" max="507" width="10.125" style="14" bestFit="1" customWidth="1"/>
    <col min="508" max="760" width="9" style="14"/>
    <col min="761" max="761" width="98.125" style="14" customWidth="1"/>
    <col min="762" max="762" width="11.5" style="14" customWidth="1"/>
    <col min="763" max="763" width="10.125" style="14" bestFit="1" customWidth="1"/>
    <col min="764" max="1016" width="9" style="14"/>
    <col min="1017" max="1017" width="98.125" style="14" customWidth="1"/>
    <col min="1018" max="1018" width="11.5" style="14" customWidth="1"/>
    <col min="1019" max="1019" width="10.125" style="14" bestFit="1" customWidth="1"/>
    <col min="1020" max="1272" width="9" style="14"/>
    <col min="1273" max="1273" width="98.125" style="14" customWidth="1"/>
    <col min="1274" max="1274" width="11.5" style="14" customWidth="1"/>
    <col min="1275" max="1275" width="10.125" style="14" bestFit="1" customWidth="1"/>
    <col min="1276" max="1528" width="9" style="14"/>
    <col min="1529" max="1529" width="98.125" style="14" customWidth="1"/>
    <col min="1530" max="1530" width="11.5" style="14" customWidth="1"/>
    <col min="1531" max="1531" width="10.125" style="14" bestFit="1" customWidth="1"/>
    <col min="1532" max="1784" width="9" style="14"/>
    <col min="1785" max="1785" width="98.125" style="14" customWidth="1"/>
    <col min="1786" max="1786" width="11.5" style="14" customWidth="1"/>
    <col min="1787" max="1787" width="10.125" style="14" bestFit="1" customWidth="1"/>
    <col min="1788" max="2040" width="9" style="14"/>
    <col min="2041" max="2041" width="98.125" style="14" customWidth="1"/>
    <col min="2042" max="2042" width="11.5" style="14" customWidth="1"/>
    <col min="2043" max="2043" width="10.125" style="14" bestFit="1" customWidth="1"/>
    <col min="2044" max="2296" width="9" style="14"/>
    <col min="2297" max="2297" width="98.125" style="14" customWidth="1"/>
    <col min="2298" max="2298" width="11.5" style="14" customWidth="1"/>
    <col min="2299" max="2299" width="10.125" style="14" bestFit="1" customWidth="1"/>
    <col min="2300" max="2552" width="9" style="14"/>
    <col min="2553" max="2553" width="98.125" style="14" customWidth="1"/>
    <col min="2554" max="2554" width="11.5" style="14" customWidth="1"/>
    <col min="2555" max="2555" width="10.125" style="14" bestFit="1" customWidth="1"/>
    <col min="2556" max="2808" width="9" style="14"/>
    <col min="2809" max="2809" width="98.125" style="14" customWidth="1"/>
    <col min="2810" max="2810" width="11.5" style="14" customWidth="1"/>
    <col min="2811" max="2811" width="10.125" style="14" bestFit="1" customWidth="1"/>
    <col min="2812" max="3064" width="9" style="14"/>
    <col min="3065" max="3065" width="98.125" style="14" customWidth="1"/>
    <col min="3066" max="3066" width="11.5" style="14" customWidth="1"/>
    <col min="3067" max="3067" width="10.125" style="14" bestFit="1" customWidth="1"/>
    <col min="3068" max="3320" width="9" style="14"/>
    <col min="3321" max="3321" width="98.125" style="14" customWidth="1"/>
    <col min="3322" max="3322" width="11.5" style="14" customWidth="1"/>
    <col min="3323" max="3323" width="10.125" style="14" bestFit="1" customWidth="1"/>
    <col min="3324" max="3576" width="9" style="14"/>
    <col min="3577" max="3577" width="98.125" style="14" customWidth="1"/>
    <col min="3578" max="3578" width="11.5" style="14" customWidth="1"/>
    <col min="3579" max="3579" width="10.125" style="14" bestFit="1" customWidth="1"/>
    <col min="3580" max="3832" width="9" style="14"/>
    <col min="3833" max="3833" width="98.125" style="14" customWidth="1"/>
    <col min="3834" max="3834" width="11.5" style="14" customWidth="1"/>
    <col min="3835" max="3835" width="10.125" style="14" bestFit="1" customWidth="1"/>
    <col min="3836" max="4088" width="9" style="14"/>
    <col min="4089" max="4089" width="98.125" style="14" customWidth="1"/>
    <col min="4090" max="4090" width="11.5" style="14" customWidth="1"/>
    <col min="4091" max="4091" width="10.125" style="14" bestFit="1" customWidth="1"/>
    <col min="4092" max="4344" width="9" style="14"/>
    <col min="4345" max="4345" width="98.125" style="14" customWidth="1"/>
    <col min="4346" max="4346" width="11.5" style="14" customWidth="1"/>
    <col min="4347" max="4347" width="10.125" style="14" bestFit="1" customWidth="1"/>
    <col min="4348" max="4600" width="9" style="14"/>
    <col min="4601" max="4601" width="98.125" style="14" customWidth="1"/>
    <col min="4602" max="4602" width="11.5" style="14" customWidth="1"/>
    <col min="4603" max="4603" width="10.125" style="14" bestFit="1" customWidth="1"/>
    <col min="4604" max="4856" width="9" style="14"/>
    <col min="4857" max="4857" width="98.125" style="14" customWidth="1"/>
    <col min="4858" max="4858" width="11.5" style="14" customWidth="1"/>
    <col min="4859" max="4859" width="10.125" style="14" bestFit="1" customWidth="1"/>
    <col min="4860" max="5112" width="9" style="14"/>
    <col min="5113" max="5113" width="98.125" style="14" customWidth="1"/>
    <col min="5114" max="5114" width="11.5" style="14" customWidth="1"/>
    <col min="5115" max="5115" width="10.125" style="14" bestFit="1" customWidth="1"/>
    <col min="5116" max="5368" width="9" style="14"/>
    <col min="5369" max="5369" width="98.125" style="14" customWidth="1"/>
    <col min="5370" max="5370" width="11.5" style="14" customWidth="1"/>
    <col min="5371" max="5371" width="10.125" style="14" bestFit="1" customWidth="1"/>
    <col min="5372" max="5624" width="9" style="14"/>
    <col min="5625" max="5625" width="98.125" style="14" customWidth="1"/>
    <col min="5626" max="5626" width="11.5" style="14" customWidth="1"/>
    <col min="5627" max="5627" width="10.125" style="14" bestFit="1" customWidth="1"/>
    <col min="5628" max="5880" width="9" style="14"/>
    <col min="5881" max="5881" width="98.125" style="14" customWidth="1"/>
    <col min="5882" max="5882" width="11.5" style="14" customWidth="1"/>
    <col min="5883" max="5883" width="10.125" style="14" bestFit="1" customWidth="1"/>
    <col min="5884" max="6136" width="9" style="14"/>
    <col min="6137" max="6137" width="98.125" style="14" customWidth="1"/>
    <col min="6138" max="6138" width="11.5" style="14" customWidth="1"/>
    <col min="6139" max="6139" width="10.125" style="14" bestFit="1" customWidth="1"/>
    <col min="6140" max="6392" width="9" style="14"/>
    <col min="6393" max="6393" width="98.125" style="14" customWidth="1"/>
    <col min="6394" max="6394" width="11.5" style="14" customWidth="1"/>
    <col min="6395" max="6395" width="10.125" style="14" bestFit="1" customWidth="1"/>
    <col min="6396" max="6648" width="9" style="14"/>
    <col min="6649" max="6649" width="98.125" style="14" customWidth="1"/>
    <col min="6650" max="6650" width="11.5" style="14" customWidth="1"/>
    <col min="6651" max="6651" width="10.125" style="14" bestFit="1" customWidth="1"/>
    <col min="6652" max="6904" width="9" style="14"/>
    <col min="6905" max="6905" width="98.125" style="14" customWidth="1"/>
    <col min="6906" max="6906" width="11.5" style="14" customWidth="1"/>
    <col min="6907" max="6907" width="10.125" style="14" bestFit="1" customWidth="1"/>
    <col min="6908" max="7160" width="9" style="14"/>
    <col min="7161" max="7161" width="98.125" style="14" customWidth="1"/>
    <col min="7162" max="7162" width="11.5" style="14" customWidth="1"/>
    <col min="7163" max="7163" width="10.125" style="14" bestFit="1" customWidth="1"/>
    <col min="7164" max="7416" width="9" style="14"/>
    <col min="7417" max="7417" width="98.125" style="14" customWidth="1"/>
    <col min="7418" max="7418" width="11.5" style="14" customWidth="1"/>
    <col min="7419" max="7419" width="10.125" style="14" bestFit="1" customWidth="1"/>
    <col min="7420" max="7672" width="9" style="14"/>
    <col min="7673" max="7673" width="98.125" style="14" customWidth="1"/>
    <col min="7674" max="7674" width="11.5" style="14" customWidth="1"/>
    <col min="7675" max="7675" width="10.125" style="14" bestFit="1" customWidth="1"/>
    <col min="7676" max="7928" width="9" style="14"/>
    <col min="7929" max="7929" width="98.125" style="14" customWidth="1"/>
    <col min="7930" max="7930" width="11.5" style="14" customWidth="1"/>
    <col min="7931" max="7931" width="10.125" style="14" bestFit="1" customWidth="1"/>
    <col min="7932" max="8184" width="9" style="14"/>
    <col min="8185" max="8185" width="98.125" style="14" customWidth="1"/>
    <col min="8186" max="8186" width="11.5" style="14" customWidth="1"/>
    <col min="8187" max="8187" width="10.125" style="14" bestFit="1" customWidth="1"/>
    <col min="8188" max="8440" width="9" style="14"/>
    <col min="8441" max="8441" width="98.125" style="14" customWidth="1"/>
    <col min="8442" max="8442" width="11.5" style="14" customWidth="1"/>
    <col min="8443" max="8443" width="10.125" style="14" bestFit="1" customWidth="1"/>
    <col min="8444" max="8696" width="9" style="14"/>
    <col min="8697" max="8697" width="98.125" style="14" customWidth="1"/>
    <col min="8698" max="8698" width="11.5" style="14" customWidth="1"/>
    <col min="8699" max="8699" width="10.125" style="14" bestFit="1" customWidth="1"/>
    <col min="8700" max="8952" width="9" style="14"/>
    <col min="8953" max="8953" width="98.125" style="14" customWidth="1"/>
    <col min="8954" max="8954" width="11.5" style="14" customWidth="1"/>
    <col min="8955" max="8955" width="10.125" style="14" bestFit="1" customWidth="1"/>
    <col min="8956" max="9208" width="9" style="14"/>
    <col min="9209" max="9209" width="98.125" style="14" customWidth="1"/>
    <col min="9210" max="9210" width="11.5" style="14" customWidth="1"/>
    <col min="9211" max="9211" width="10.125" style="14" bestFit="1" customWidth="1"/>
    <col min="9212" max="9464" width="9" style="14"/>
    <col min="9465" max="9465" width="98.125" style="14" customWidth="1"/>
    <col min="9466" max="9466" width="11.5" style="14" customWidth="1"/>
    <col min="9467" max="9467" width="10.125" style="14" bestFit="1" customWidth="1"/>
    <col min="9468" max="9720" width="9" style="14"/>
    <col min="9721" max="9721" width="98.125" style="14" customWidth="1"/>
    <col min="9722" max="9722" width="11.5" style="14" customWidth="1"/>
    <col min="9723" max="9723" width="10.125" style="14" bestFit="1" customWidth="1"/>
    <col min="9724" max="9976" width="9" style="14"/>
    <col min="9977" max="9977" width="98.125" style="14" customWidth="1"/>
    <col min="9978" max="9978" width="11.5" style="14" customWidth="1"/>
    <col min="9979" max="9979" width="10.125" style="14" bestFit="1" customWidth="1"/>
    <col min="9980" max="10232" width="9" style="14"/>
    <col min="10233" max="10233" width="98.125" style="14" customWidth="1"/>
    <col min="10234" max="10234" width="11.5" style="14" customWidth="1"/>
    <col min="10235" max="10235" width="10.125" style="14" bestFit="1" customWidth="1"/>
    <col min="10236" max="10488" width="9" style="14"/>
    <col min="10489" max="10489" width="98.125" style="14" customWidth="1"/>
    <col min="10490" max="10490" width="11.5" style="14" customWidth="1"/>
    <col min="10491" max="10491" width="10.125" style="14" bestFit="1" customWidth="1"/>
    <col min="10492" max="10744" width="9" style="14"/>
    <col min="10745" max="10745" width="98.125" style="14" customWidth="1"/>
    <col min="10746" max="10746" width="11.5" style="14" customWidth="1"/>
    <col min="10747" max="10747" width="10.125" style="14" bestFit="1" customWidth="1"/>
    <col min="10748" max="11000" width="9" style="14"/>
    <col min="11001" max="11001" width="98.125" style="14" customWidth="1"/>
    <col min="11002" max="11002" width="11.5" style="14" customWidth="1"/>
    <col min="11003" max="11003" width="10.125" style="14" bestFit="1" customWidth="1"/>
    <col min="11004" max="11256" width="9" style="14"/>
    <col min="11257" max="11257" width="98.125" style="14" customWidth="1"/>
    <col min="11258" max="11258" width="11.5" style="14" customWidth="1"/>
    <col min="11259" max="11259" width="10.125" style="14" bestFit="1" customWidth="1"/>
    <col min="11260" max="11512" width="9" style="14"/>
    <col min="11513" max="11513" width="98.125" style="14" customWidth="1"/>
    <col min="11514" max="11514" width="11.5" style="14" customWidth="1"/>
    <col min="11515" max="11515" width="10.125" style="14" bestFit="1" customWidth="1"/>
    <col min="11516" max="11768" width="9" style="14"/>
    <col min="11769" max="11769" width="98.125" style="14" customWidth="1"/>
    <col min="11770" max="11770" width="11.5" style="14" customWidth="1"/>
    <col min="11771" max="11771" width="10.125" style="14" bestFit="1" customWidth="1"/>
    <col min="11772" max="12024" width="9" style="14"/>
    <col min="12025" max="12025" width="98.125" style="14" customWidth="1"/>
    <col min="12026" max="12026" width="11.5" style="14" customWidth="1"/>
    <col min="12027" max="12027" width="10.125" style="14" bestFit="1" customWidth="1"/>
    <col min="12028" max="12280" width="9" style="14"/>
    <col min="12281" max="12281" width="98.125" style="14" customWidth="1"/>
    <col min="12282" max="12282" width="11.5" style="14" customWidth="1"/>
    <col min="12283" max="12283" width="10.125" style="14" bestFit="1" customWidth="1"/>
    <col min="12284" max="12536" width="9" style="14"/>
    <col min="12537" max="12537" width="98.125" style="14" customWidth="1"/>
    <col min="12538" max="12538" width="11.5" style="14" customWidth="1"/>
    <col min="12539" max="12539" width="10.125" style="14" bestFit="1" customWidth="1"/>
    <col min="12540" max="12792" width="9" style="14"/>
    <col min="12793" max="12793" width="98.125" style="14" customWidth="1"/>
    <col min="12794" max="12794" width="11.5" style="14" customWidth="1"/>
    <col min="12795" max="12795" width="10.125" style="14" bestFit="1" customWidth="1"/>
    <col min="12796" max="13048" width="9" style="14"/>
    <col min="13049" max="13049" width="98.125" style="14" customWidth="1"/>
    <col min="13050" max="13050" width="11.5" style="14" customWidth="1"/>
    <col min="13051" max="13051" width="10.125" style="14" bestFit="1" customWidth="1"/>
    <col min="13052" max="13304" width="9" style="14"/>
    <col min="13305" max="13305" width="98.125" style="14" customWidth="1"/>
    <col min="13306" max="13306" width="11.5" style="14" customWidth="1"/>
    <col min="13307" max="13307" width="10.125" style="14" bestFit="1" customWidth="1"/>
    <col min="13308" max="13560" width="9" style="14"/>
    <col min="13561" max="13561" width="98.125" style="14" customWidth="1"/>
    <col min="13562" max="13562" width="11.5" style="14" customWidth="1"/>
    <col min="13563" max="13563" width="10.125" style="14" bestFit="1" customWidth="1"/>
    <col min="13564" max="13816" width="9" style="14"/>
    <col min="13817" max="13817" width="98.125" style="14" customWidth="1"/>
    <col min="13818" max="13818" width="11.5" style="14" customWidth="1"/>
    <col min="13819" max="13819" width="10.125" style="14" bestFit="1" customWidth="1"/>
    <col min="13820" max="14072" width="9" style="14"/>
    <col min="14073" max="14073" width="98.125" style="14" customWidth="1"/>
    <col min="14074" max="14074" width="11.5" style="14" customWidth="1"/>
    <col min="14075" max="14075" width="10.125" style="14" bestFit="1" customWidth="1"/>
    <col min="14076" max="14328" width="9" style="14"/>
    <col min="14329" max="14329" width="98.125" style="14" customWidth="1"/>
    <col min="14330" max="14330" width="11.5" style="14" customWidth="1"/>
    <col min="14331" max="14331" width="10.125" style="14" bestFit="1" customWidth="1"/>
    <col min="14332" max="14584" width="9" style="14"/>
    <col min="14585" max="14585" width="98.125" style="14" customWidth="1"/>
    <col min="14586" max="14586" width="11.5" style="14" customWidth="1"/>
    <col min="14587" max="14587" width="10.125" style="14" bestFit="1" customWidth="1"/>
    <col min="14588" max="14840" width="9" style="14"/>
    <col min="14841" max="14841" width="98.125" style="14" customWidth="1"/>
    <col min="14842" max="14842" width="11.5" style="14" customWidth="1"/>
    <col min="14843" max="14843" width="10.125" style="14" bestFit="1" customWidth="1"/>
    <col min="14844" max="15096" width="9" style="14"/>
    <col min="15097" max="15097" width="98.125" style="14" customWidth="1"/>
    <col min="15098" max="15098" width="11.5" style="14" customWidth="1"/>
    <col min="15099" max="15099" width="10.125" style="14" bestFit="1" customWidth="1"/>
    <col min="15100" max="15352" width="9" style="14"/>
    <col min="15353" max="15353" width="98.125" style="14" customWidth="1"/>
    <col min="15354" max="15354" width="11.5" style="14" customWidth="1"/>
    <col min="15355" max="15355" width="10.125" style="14" bestFit="1" customWidth="1"/>
    <col min="15356" max="15608" width="9" style="14"/>
    <col min="15609" max="15609" width="98.125" style="14" customWidth="1"/>
    <col min="15610" max="15610" width="11.5" style="14" customWidth="1"/>
    <col min="15611" max="15611" width="10.125" style="14" bestFit="1" customWidth="1"/>
    <col min="15612" max="15864" width="9" style="14"/>
    <col min="15865" max="15865" width="98.125" style="14" customWidth="1"/>
    <col min="15866" max="15866" width="11.5" style="14" customWidth="1"/>
    <col min="15867" max="15867" width="10.125" style="14" bestFit="1" customWidth="1"/>
    <col min="15868" max="16120" width="9" style="14"/>
    <col min="16121" max="16121" width="98.125" style="14" customWidth="1"/>
    <col min="16122" max="16122" width="11.5" style="14" customWidth="1"/>
    <col min="16123" max="16123" width="10.125" style="14" bestFit="1" customWidth="1"/>
    <col min="16124" max="16384" width="9" style="14"/>
  </cols>
  <sheetData>
    <row r="1" spans="2:21" ht="33" customHeight="1" x14ac:dyDescent="0.5">
      <c r="B1" s="36" t="s">
        <v>110</v>
      </c>
      <c r="C1" s="29" t="str">
        <f>Revenues!B2</f>
        <v>Enrollment 301-500</v>
      </c>
      <c r="D1" s="168"/>
      <c r="E1" s="170" t="s">
        <v>47</v>
      </c>
      <c r="F1" s="172" t="s">
        <v>106</v>
      </c>
      <c r="G1" s="172" t="s">
        <v>107</v>
      </c>
      <c r="H1" s="172" t="s">
        <v>108</v>
      </c>
      <c r="I1" s="140"/>
      <c r="J1" s="140"/>
    </row>
    <row r="2" spans="2:21" ht="34.15" customHeight="1" thickBot="1" x14ac:dyDescent="0.55000000000000004">
      <c r="B2" s="37" t="s">
        <v>109</v>
      </c>
      <c r="C2" s="38">
        <f>Revenues!B19</f>
        <v>5652598</v>
      </c>
      <c r="D2" s="169"/>
      <c r="E2" s="170"/>
      <c r="F2" s="172"/>
      <c r="G2" s="172"/>
      <c r="H2" s="172"/>
      <c r="I2" s="140"/>
      <c r="J2" s="140"/>
      <c r="K2" s="13"/>
      <c r="P2" s="13"/>
      <c r="U2" s="13"/>
    </row>
    <row r="3" spans="2:21" ht="47.25" x14ac:dyDescent="0.5">
      <c r="B3" s="14"/>
      <c r="C3" s="39" t="s">
        <v>105</v>
      </c>
      <c r="D3" s="39"/>
      <c r="E3" s="171"/>
      <c r="F3" s="173"/>
      <c r="G3" s="173"/>
      <c r="H3" s="173"/>
      <c r="I3" s="140"/>
      <c r="J3" s="140"/>
      <c r="K3" s="13"/>
      <c r="P3" s="13"/>
      <c r="U3" s="13"/>
    </row>
    <row r="4" spans="2:21" x14ac:dyDescent="0.5">
      <c r="B4" s="40" t="s">
        <v>48</v>
      </c>
      <c r="C4" s="41"/>
      <c r="D4" s="41"/>
      <c r="E4" s="42"/>
      <c r="F4" s="43"/>
      <c r="G4" s="32"/>
      <c r="H4" s="32"/>
      <c r="I4" s="140"/>
      <c r="J4" s="140"/>
      <c r="K4" s="13"/>
      <c r="P4" s="13"/>
      <c r="U4" s="13"/>
    </row>
    <row r="5" spans="2:21" ht="12.75" customHeight="1" x14ac:dyDescent="0.5">
      <c r="B5" s="18" t="s">
        <v>52</v>
      </c>
      <c r="C5" s="22">
        <f>SUM(E5*Revenues!$B$19)</f>
        <v>1611064.0616961464</v>
      </c>
      <c r="D5" s="14"/>
      <c r="E5" s="21">
        <f>HLOOKUP($C$1,Charts!$B$1:$J$281,K5,FALSE)</f>
        <v>0.2850130261688778</v>
      </c>
      <c r="F5" s="33">
        <f>HLOOKUP($C$1,Charts!$B$1:$J$281,L5,FALSE)</f>
        <v>1370500</v>
      </c>
      <c r="G5" s="33">
        <f>HLOOKUP($C$1,Charts!$B$1:$J$281,M5,FALSE)</f>
        <v>1895358</v>
      </c>
      <c r="H5" s="33">
        <f>HLOOKUP($C$1,Charts!$B$1:$J$281,N5,FALSE)</f>
        <v>2462128</v>
      </c>
      <c r="I5" s="139"/>
      <c r="J5" s="139"/>
      <c r="K5" s="14">
        <v>82</v>
      </c>
      <c r="L5" s="14">
        <v>85</v>
      </c>
      <c r="M5" s="14">
        <v>84</v>
      </c>
      <c r="N5" s="14">
        <v>83</v>
      </c>
    </row>
    <row r="6" spans="2:21" ht="12.75" customHeight="1" x14ac:dyDescent="0.5">
      <c r="B6" s="8" t="s">
        <v>53</v>
      </c>
      <c r="C6" s="22">
        <f>SUM(E6*Revenues!$B$19)</f>
        <v>81756.895378172427</v>
      </c>
      <c r="D6" s="14"/>
      <c r="E6" s="21">
        <f>HLOOKUP($C$1,Charts!$B$1:$J$281,K6,FALSE)</f>
        <v>1.4463596275229978E-2</v>
      </c>
      <c r="F6" s="33">
        <f>HLOOKUP($C$1,Charts!$B$1:$J$281,L6,FALSE)</f>
        <v>58246</v>
      </c>
      <c r="G6" s="33">
        <f>HLOOKUP($C$1,Charts!$B$1:$J$281,M6,FALSE)</f>
        <v>96184</v>
      </c>
      <c r="H6" s="33">
        <f>HLOOKUP($C$1,Charts!$B$1:$J$281,N6,FALSE)</f>
        <v>235879</v>
      </c>
      <c r="I6" s="139"/>
      <c r="J6" s="139"/>
      <c r="K6" s="14">
        <v>86</v>
      </c>
      <c r="L6" s="14">
        <v>89</v>
      </c>
      <c r="M6" s="14">
        <v>88</v>
      </c>
      <c r="N6" s="14">
        <v>87</v>
      </c>
    </row>
    <row r="7" spans="2:21" ht="12.75" customHeight="1" x14ac:dyDescent="0.5">
      <c r="B7" s="8" t="s">
        <v>54</v>
      </c>
      <c r="C7" s="22">
        <f>SUM(E7*Revenues!$B$19)</f>
        <v>69700.422326063999</v>
      </c>
      <c r="D7" s="9"/>
      <c r="E7" s="21">
        <f>HLOOKUP($C$1,Charts!$B$1:$J$281,K7,FALSE)</f>
        <v>1.2330687999759402E-2</v>
      </c>
      <c r="F7" s="33">
        <f>HLOOKUP($C$1,Charts!$B$1:$J$281,L7,FALSE)</f>
        <v>28583</v>
      </c>
      <c r="G7" s="33">
        <f>HLOOKUP($C$1,Charts!$B$1:$J$281,M7,FALSE)</f>
        <v>82000</v>
      </c>
      <c r="H7" s="33">
        <f>HLOOKUP($C$1,Charts!$B$1:$J$281,N7,FALSE)</f>
        <v>124729</v>
      </c>
      <c r="I7" s="139"/>
      <c r="J7" s="139"/>
      <c r="K7" s="14">
        <v>90</v>
      </c>
      <c r="L7" s="14">
        <v>93</v>
      </c>
      <c r="M7" s="14">
        <v>92</v>
      </c>
      <c r="N7" s="14">
        <v>91</v>
      </c>
    </row>
    <row r="8" spans="2:21" ht="12.75" customHeight="1" x14ac:dyDescent="0.5">
      <c r="B8" s="8" t="s">
        <v>55</v>
      </c>
      <c r="C8" s="22">
        <f>SUM(E8*Revenues!$B$19)</f>
        <v>70870.879418051671</v>
      </c>
      <c r="D8" s="14"/>
      <c r="E8" s="21">
        <f>HLOOKUP($C$1,Charts!$B$1:$J$281,K8,FALSE)</f>
        <v>1.2537753333609019E-2</v>
      </c>
      <c r="F8" s="33">
        <f>HLOOKUP($C$1,Charts!$B$1:$J$281,L8,FALSE)</f>
        <v>46561</v>
      </c>
      <c r="G8" s="33">
        <f>HLOOKUP($C$1,Charts!$B$1:$J$281,M8,FALSE)</f>
        <v>83377</v>
      </c>
      <c r="H8" s="33">
        <f>HLOOKUP($C$1,Charts!$B$1:$J$281,N8,FALSE)</f>
        <v>141119</v>
      </c>
      <c r="I8" s="139"/>
      <c r="J8" s="139"/>
      <c r="K8" s="14">
        <v>94</v>
      </c>
      <c r="L8" s="14">
        <v>97</v>
      </c>
      <c r="M8" s="14">
        <v>96</v>
      </c>
      <c r="N8" s="14">
        <v>95</v>
      </c>
    </row>
    <row r="9" spans="2:21" ht="12.75" customHeight="1" x14ac:dyDescent="0.5">
      <c r="B9" s="8" t="s">
        <v>56</v>
      </c>
      <c r="C9" s="22">
        <f>SUM(E9*Revenues!$B$19)</f>
        <v>33733.304395514337</v>
      </c>
      <c r="D9" s="14"/>
      <c r="E9" s="21">
        <f>HLOOKUP($C$1,Charts!$B$1:$J$281,K9,FALSE)</f>
        <v>5.9677522433957512E-3</v>
      </c>
      <c r="F9" s="33">
        <f>HLOOKUP($C$1,Charts!$B$1:$J$281,L9,FALSE)</f>
        <v>30000</v>
      </c>
      <c r="G9" s="33">
        <f>HLOOKUP($C$1,Charts!$B$1:$J$281,M9,FALSE)</f>
        <v>39686</v>
      </c>
      <c r="H9" s="33">
        <f>HLOOKUP($C$1,Charts!$B$1:$J$281,N9,FALSE)</f>
        <v>42444</v>
      </c>
      <c r="I9" s="139"/>
      <c r="J9" s="139"/>
      <c r="K9" s="14">
        <v>98</v>
      </c>
      <c r="L9" s="14">
        <v>101</v>
      </c>
      <c r="M9" s="14">
        <v>100</v>
      </c>
      <c r="N9" s="14">
        <v>99</v>
      </c>
    </row>
    <row r="10" spans="2:21" ht="12.75" customHeight="1" x14ac:dyDescent="0.5">
      <c r="B10" s="8" t="s">
        <v>57</v>
      </c>
      <c r="C10" s="22">
        <f>SUM(E10*Revenues!$B$19)</f>
        <v>60775.368247726525</v>
      </c>
      <c r="D10" s="9"/>
      <c r="E10" s="21">
        <f>HLOOKUP($C$1,Charts!$B$1:$J$281,K10,FALSE)</f>
        <v>1.0751758438814599E-2</v>
      </c>
      <c r="F10" s="33">
        <f>HLOOKUP($C$1,Charts!$B$1:$J$281,L10,FALSE)</f>
        <v>42605</v>
      </c>
      <c r="G10" s="33">
        <f>HLOOKUP($C$1,Charts!$B$1:$J$281,M10,FALSE)</f>
        <v>71500</v>
      </c>
      <c r="H10" s="33">
        <f>HLOOKUP($C$1,Charts!$B$1:$J$281,N10,FALSE)</f>
        <v>133000</v>
      </c>
      <c r="I10" s="139"/>
      <c r="J10" s="139"/>
      <c r="K10" s="14">
        <v>102</v>
      </c>
      <c r="L10" s="14">
        <v>105</v>
      </c>
      <c r="M10" s="14">
        <v>104</v>
      </c>
      <c r="N10" s="14">
        <v>103</v>
      </c>
    </row>
    <row r="11" spans="2:21" ht="12.75" customHeight="1" x14ac:dyDescent="0.5">
      <c r="B11" s="8" t="s">
        <v>58</v>
      </c>
      <c r="C11" s="22">
        <f>SUM(E11*Revenues!$B$19)</f>
        <v>7739.2968936440566</v>
      </c>
      <c r="D11" s="14"/>
      <c r="E11" s="21">
        <f>HLOOKUP($C$1,Charts!$B$1:$J$281,K11,FALSE)</f>
        <v>1.369157490704992E-3</v>
      </c>
      <c r="F11" s="33">
        <f>HLOOKUP($C$1,Charts!$B$1:$J$281,L11,FALSE)</f>
        <v>209</v>
      </c>
      <c r="G11" s="33">
        <f>HLOOKUP($C$1,Charts!$B$1:$J$281,M11,FALSE)</f>
        <v>9105</v>
      </c>
      <c r="H11" s="33">
        <f>HLOOKUP($C$1,Charts!$B$1:$J$281,N11,FALSE)</f>
        <v>18000</v>
      </c>
      <c r="I11" s="139"/>
      <c r="J11" s="139"/>
      <c r="K11" s="14">
        <v>106</v>
      </c>
      <c r="L11" s="14">
        <v>109</v>
      </c>
      <c r="M11" s="14">
        <v>108</v>
      </c>
      <c r="N11" s="14">
        <v>107</v>
      </c>
    </row>
    <row r="12" spans="2:21" ht="12.75" customHeight="1" x14ac:dyDescent="0.5">
      <c r="B12" s="8" t="s">
        <v>60</v>
      </c>
      <c r="C12" s="22">
        <f>SUM(E12*Revenues!$B$19)</f>
        <v>33002.299966240986</v>
      </c>
      <c r="D12" s="14"/>
      <c r="E12" s="21">
        <f>HLOOKUP($C$1,Charts!$B$1:$J$281,K12,FALSE)</f>
        <v>5.8384303936421774E-3</v>
      </c>
      <c r="F12" s="33">
        <f>HLOOKUP($C$1,Charts!$B$1:$J$281,L12,FALSE)</f>
        <v>19441</v>
      </c>
      <c r="G12" s="33">
        <f>HLOOKUP($C$1,Charts!$B$1:$J$281,M12,FALSE)</f>
        <v>38826</v>
      </c>
      <c r="H12" s="33">
        <f>HLOOKUP($C$1,Charts!$B$1:$J$281,N12,FALSE)</f>
        <v>61117</v>
      </c>
      <c r="I12" s="139"/>
      <c r="J12" s="139"/>
      <c r="K12" s="14">
        <v>114</v>
      </c>
      <c r="L12" s="14">
        <v>117</v>
      </c>
      <c r="M12" s="14">
        <v>116</v>
      </c>
      <c r="N12" s="14">
        <v>115</v>
      </c>
    </row>
    <row r="13" spans="2:21" ht="12.75" customHeight="1" x14ac:dyDescent="0.5">
      <c r="B13" s="8" t="s">
        <v>61</v>
      </c>
      <c r="C13" s="22">
        <f>SUM(E13*Revenues!$B$19)</f>
        <v>57649.049304857464</v>
      </c>
      <c r="D13" s="9"/>
      <c r="E13" s="21">
        <f>HLOOKUP($C$1,Charts!$B$1:$J$281,K13,FALSE)</f>
        <v>1.0198681969752221E-2</v>
      </c>
      <c r="F13" s="33">
        <f>HLOOKUP($C$1,Charts!$B$1:$J$281,L13,FALSE)</f>
        <v>49672</v>
      </c>
      <c r="G13" s="33">
        <f>HLOOKUP($C$1,Charts!$B$1:$J$281,M13,FALSE)</f>
        <v>67822</v>
      </c>
      <c r="H13" s="33">
        <f>HLOOKUP($C$1,Charts!$B$1:$J$281,N13,FALSE)</f>
        <v>122097</v>
      </c>
      <c r="I13" s="139"/>
      <c r="J13" s="139"/>
      <c r="K13" s="14">
        <v>118</v>
      </c>
      <c r="L13" s="14">
        <v>121</v>
      </c>
      <c r="M13" s="14">
        <v>120</v>
      </c>
      <c r="N13" s="14">
        <v>119</v>
      </c>
    </row>
    <row r="14" spans="2:21" ht="12.75" customHeight="1" x14ac:dyDescent="0.5">
      <c r="B14" s="83" t="s">
        <v>94</v>
      </c>
      <c r="C14" s="20"/>
      <c r="D14" s="84">
        <f>SUM(C5:C13)</f>
        <v>2026291.5776264176</v>
      </c>
      <c r="E14" s="137">
        <f>HLOOKUP($C$1,Charts!$B$1:$J$281,K14,FALSE)</f>
        <v>0.38956568159005722</v>
      </c>
      <c r="F14" s="138">
        <f>HLOOKUP($C$1,Charts!$B$1:$J$281,L14,FALSE)</f>
        <v>1824551</v>
      </c>
      <c r="G14" s="138">
        <f>HLOOKUP($C$1,Charts!$B$1:$J$281,M14,FALSE)</f>
        <v>2590641</v>
      </c>
      <c r="H14" s="138">
        <f>HLOOKUP($C$1,Charts!$B$1:$J$281,N14,FALSE)</f>
        <v>3641390</v>
      </c>
      <c r="I14" s="141"/>
      <c r="J14" s="141"/>
      <c r="K14" s="14">
        <v>122</v>
      </c>
      <c r="L14" s="14">
        <v>125</v>
      </c>
      <c r="M14" s="14">
        <v>124</v>
      </c>
      <c r="N14" s="14">
        <v>123</v>
      </c>
      <c r="O14" s="23"/>
    </row>
    <row r="15" spans="2:21" ht="12.75" customHeight="1" x14ac:dyDescent="0.5">
      <c r="B15" s="8" t="s">
        <v>63</v>
      </c>
      <c r="C15" s="22">
        <f>SUM(E15*Revenues!$B$19)</f>
        <v>654044.96296357561</v>
      </c>
      <c r="D15" s="9"/>
      <c r="E15" s="21">
        <f>HLOOKUP($C$1,Charts!$B$1:$J$281,K15,FALSE)</f>
        <v>0.11570696571091303</v>
      </c>
      <c r="F15" s="33">
        <f>HLOOKUP($C$1,Charts!$B$1:$J$281,L15,FALSE)</f>
        <v>479326</v>
      </c>
      <c r="G15" s="33">
        <f>HLOOKUP($C$1,Charts!$B$1:$J$281,M15,FALSE)</f>
        <v>769460</v>
      </c>
      <c r="H15" s="33">
        <f>HLOOKUP($C$1,Charts!$B$1:$J$281,N15,FALSE)</f>
        <v>944469</v>
      </c>
      <c r="I15" s="139"/>
      <c r="J15" s="139"/>
      <c r="K15" s="14">
        <v>126</v>
      </c>
      <c r="L15" s="14">
        <v>129</v>
      </c>
      <c r="M15" s="14">
        <v>128</v>
      </c>
      <c r="N15" s="14">
        <v>127</v>
      </c>
    </row>
    <row r="16" spans="2:21" ht="12.75" customHeight="1" x14ac:dyDescent="0.5">
      <c r="B16" s="8" t="s">
        <v>64</v>
      </c>
      <c r="C16" s="22">
        <f>SUM(E16*Revenues!$B$19)</f>
        <v>125091.85795167724</v>
      </c>
      <c r="D16" s="14"/>
      <c r="E16" s="21">
        <f>HLOOKUP($C$1,Charts!$B$1:$J$281,K16,FALSE)</f>
        <v>2.2129975977714537E-2</v>
      </c>
      <c r="F16" s="33">
        <f>HLOOKUP($C$1,Charts!$B$1:$J$281,L16,FALSE)</f>
        <v>92369</v>
      </c>
      <c r="G16" s="33">
        <f>HLOOKUP($C$1,Charts!$B$1:$J$281,M16,FALSE)</f>
        <v>147166</v>
      </c>
      <c r="H16" s="33">
        <f>HLOOKUP($C$1,Charts!$B$1:$J$281,N16,FALSE)</f>
        <v>294439</v>
      </c>
      <c r="I16" s="139"/>
      <c r="J16" s="139"/>
      <c r="K16" s="14">
        <v>130</v>
      </c>
      <c r="L16" s="14">
        <v>133</v>
      </c>
      <c r="M16" s="14">
        <v>132</v>
      </c>
      <c r="N16" s="14">
        <v>131</v>
      </c>
    </row>
    <row r="17" spans="2:14" ht="12.75" customHeight="1" x14ac:dyDescent="0.5">
      <c r="B17" s="83" t="s">
        <v>65</v>
      </c>
      <c r="C17" s="20"/>
      <c r="D17" s="84">
        <f>SUM(E17*Revenues!$B$19)</f>
        <v>674026.88403724763</v>
      </c>
      <c r="E17" s="137">
        <f>HLOOKUP($C$1,Charts!$B$1:$J$281,K17,FALSE)</f>
        <v>0.11924196343650259</v>
      </c>
      <c r="F17" s="138">
        <f>HLOOKUP($C$1,Charts!$B$1:$J$281,L17,FALSE)</f>
        <v>610909</v>
      </c>
      <c r="G17" s="138">
        <f>HLOOKUP($C$1,Charts!$B$1:$J$281,M17,FALSE)</f>
        <v>792968</v>
      </c>
      <c r="H17" s="138">
        <f>HLOOKUP($C$1,Charts!$B$1:$J$281,N17,FALSE)</f>
        <v>1073714</v>
      </c>
      <c r="I17" s="139"/>
      <c r="J17" s="139"/>
      <c r="K17" s="14">
        <v>134</v>
      </c>
      <c r="L17" s="14">
        <v>137</v>
      </c>
      <c r="M17" s="14">
        <v>136</v>
      </c>
      <c r="N17" s="14">
        <v>135</v>
      </c>
    </row>
    <row r="18" spans="2:14" ht="12.75" customHeight="1" x14ac:dyDescent="0.5">
      <c r="B18" s="8" t="s">
        <v>66</v>
      </c>
      <c r="C18" s="22">
        <f>SUM(E18*Revenues!$B$19)</f>
        <v>39551.589649440044</v>
      </c>
      <c r="D18" s="9"/>
      <c r="E18" s="21">
        <f>HLOOKUP($C$1,Charts!$B$1:$J$281,K18,FALSE)</f>
        <v>6.997063942887862E-3</v>
      </c>
      <c r="F18" s="33">
        <f>HLOOKUP($C$1,Charts!$B$1:$J$281,L18,FALSE)</f>
        <v>37600</v>
      </c>
      <c r="G18" s="33">
        <f>HLOOKUP($C$1,Charts!$B$1:$J$281,M18,FALSE)</f>
        <v>46531</v>
      </c>
      <c r="H18" s="33">
        <f>HLOOKUP($C$1,Charts!$B$1:$J$281,N18,FALSE)</f>
        <v>57407</v>
      </c>
      <c r="I18" s="139"/>
      <c r="J18" s="139"/>
      <c r="K18" s="14">
        <v>138</v>
      </c>
      <c r="L18" s="14">
        <v>141</v>
      </c>
      <c r="M18" s="14">
        <v>140</v>
      </c>
      <c r="N18" s="14">
        <v>139</v>
      </c>
    </row>
    <row r="19" spans="2:14" ht="12.75" customHeight="1" x14ac:dyDescent="0.5">
      <c r="B19" s="8" t="s">
        <v>67</v>
      </c>
      <c r="C19" s="22">
        <f>SUM(E19*Revenues!$B$19)</f>
        <v>111668.57661785769</v>
      </c>
      <c r="D19" s="9"/>
      <c r="E19" s="21">
        <f>HLOOKUP($C$1,Charts!$B$1:$J$281,K19,FALSE)</f>
        <v>1.9755265918053554E-2</v>
      </c>
      <c r="F19" s="33">
        <f>HLOOKUP($C$1,Charts!$B$1:$J$281,L19,FALSE)</f>
        <v>70000</v>
      </c>
      <c r="G19" s="33">
        <f>HLOOKUP($C$1,Charts!$B$1:$J$281,M19,FALSE)</f>
        <v>131374</v>
      </c>
      <c r="H19" s="33">
        <f>HLOOKUP($C$1,Charts!$B$1:$J$281,N19,FALSE)</f>
        <v>180165</v>
      </c>
      <c r="I19" s="139"/>
      <c r="J19" s="139"/>
      <c r="K19" s="14">
        <v>142</v>
      </c>
      <c r="L19" s="14">
        <v>145</v>
      </c>
      <c r="M19" s="14">
        <v>144</v>
      </c>
      <c r="N19" s="14">
        <v>143</v>
      </c>
    </row>
    <row r="20" spans="2:14" ht="12.75" customHeight="1" x14ac:dyDescent="0.5">
      <c r="B20" s="8" t="s">
        <v>68</v>
      </c>
      <c r="C20" s="22">
        <f>SUM(E20*Revenues!$B$19)</f>
        <v>57375.347646455113</v>
      </c>
      <c r="D20" s="9"/>
      <c r="E20" s="21">
        <f>HLOOKUP($C$1,Charts!$B$1:$J$281,K20,FALSE)</f>
        <v>1.015026146321658E-2</v>
      </c>
      <c r="F20" s="33">
        <f>HLOOKUP($C$1,Charts!$B$1:$J$281,L20,FALSE)</f>
        <v>33762</v>
      </c>
      <c r="G20" s="33">
        <f>HLOOKUP($C$1,Charts!$B$1:$J$281,M20,FALSE)</f>
        <v>67500</v>
      </c>
      <c r="H20" s="33">
        <f>HLOOKUP($C$1,Charts!$B$1:$J$281,N20,FALSE)</f>
        <v>99940</v>
      </c>
      <c r="I20" s="139"/>
      <c r="J20" s="139"/>
      <c r="K20" s="14">
        <v>146</v>
      </c>
      <c r="L20" s="14">
        <v>149</v>
      </c>
      <c r="M20" s="14">
        <v>148</v>
      </c>
      <c r="N20" s="14">
        <v>147</v>
      </c>
    </row>
    <row r="21" spans="2:14" ht="12.75" customHeight="1" x14ac:dyDescent="0.5">
      <c r="B21" s="8" t="s">
        <v>69</v>
      </c>
      <c r="C21" s="22">
        <f>SUM(E21*Revenues!$B$19)</f>
        <v>99875.605162347798</v>
      </c>
      <c r="D21" s="9"/>
      <c r="E21" s="21">
        <f>HLOOKUP($C$1,Charts!$B$1:$J$281,K21,FALSE)</f>
        <v>1.7668973658191825E-2</v>
      </c>
      <c r="F21" s="33">
        <f>HLOOKUP($C$1,Charts!$B$1:$J$281,L21,FALSE)</f>
        <v>72213</v>
      </c>
      <c r="G21" s="33">
        <f>HLOOKUP($C$1,Charts!$B$1:$J$281,M21,FALSE)</f>
        <v>117500</v>
      </c>
      <c r="H21" s="33">
        <f>HLOOKUP($C$1,Charts!$B$1:$J$281,N21,FALSE)</f>
        <v>209069</v>
      </c>
      <c r="I21" s="139"/>
      <c r="J21" s="139"/>
      <c r="K21" s="14">
        <v>150</v>
      </c>
      <c r="L21" s="14">
        <v>153</v>
      </c>
      <c r="M21" s="14">
        <v>152</v>
      </c>
      <c r="N21" s="14">
        <v>151</v>
      </c>
    </row>
    <row r="22" spans="2:14" ht="12.75" customHeight="1" x14ac:dyDescent="0.5">
      <c r="B22" s="8" t="s">
        <v>70</v>
      </c>
      <c r="C22" s="22">
        <f>SUM(E22*Revenues!$B$19)</f>
        <v>41605.202092607979</v>
      </c>
      <c r="D22" s="9"/>
      <c r="E22" s="21">
        <f>HLOOKUP($C$1,Charts!$B$1:$J$281,K22,FALSE)</f>
        <v>7.360368116149066E-3</v>
      </c>
      <c r="F22" s="33">
        <f>HLOOKUP($C$1,Charts!$B$1:$J$281,L22,FALSE)</f>
        <v>37911</v>
      </c>
      <c r="G22" s="33">
        <f>HLOOKUP($C$1,Charts!$B$1:$J$281,M22,FALSE)</f>
        <v>48947</v>
      </c>
      <c r="H22" s="33">
        <f>HLOOKUP($C$1,Charts!$B$1:$J$281,N22,FALSE)</f>
        <v>77835</v>
      </c>
      <c r="I22" s="139"/>
      <c r="J22" s="139"/>
      <c r="K22" s="14">
        <v>154</v>
      </c>
      <c r="L22" s="14">
        <v>157</v>
      </c>
      <c r="M22" s="14">
        <v>156</v>
      </c>
      <c r="N22" s="14">
        <v>155</v>
      </c>
    </row>
    <row r="23" spans="2:14" ht="12.75" customHeight="1" x14ac:dyDescent="0.5">
      <c r="B23" s="8" t="s">
        <v>71</v>
      </c>
      <c r="C23" s="22">
        <f>SUM(E23*Revenues!$B$19)</f>
        <v>58759.156031172584</v>
      </c>
      <c r="D23" s="9"/>
      <c r="E23" s="21">
        <f>HLOOKUP($C$1,Charts!$B$1:$J$281,K23,FALSE)</f>
        <v>1.0395070732284975E-2</v>
      </c>
      <c r="F23" s="33">
        <f>HLOOKUP($C$1,Charts!$B$1:$J$281,L23,FALSE)</f>
        <v>45365</v>
      </c>
      <c r="G23" s="33">
        <f>HLOOKUP($C$1,Charts!$B$1:$J$281,M23,FALSE)</f>
        <v>69128</v>
      </c>
      <c r="H23" s="33">
        <f>HLOOKUP($C$1,Charts!$B$1:$J$281,N23,FALSE)</f>
        <v>122162</v>
      </c>
      <c r="I23" s="139"/>
      <c r="J23" s="139"/>
      <c r="K23" s="14">
        <v>158</v>
      </c>
      <c r="L23" s="14">
        <v>161</v>
      </c>
      <c r="M23" s="14">
        <v>160</v>
      </c>
      <c r="N23" s="14">
        <v>159</v>
      </c>
    </row>
    <row r="24" spans="2:14" ht="12.75" customHeight="1" x14ac:dyDescent="0.5">
      <c r="B24" s="8" t="s">
        <v>72</v>
      </c>
      <c r="C24" s="22">
        <f>SUM(E24*Revenues!$B$19)</f>
        <v>48301.542666812027</v>
      </c>
      <c r="D24" s="14"/>
      <c r="E24" s="21">
        <f>HLOOKUP($C$1,Charts!$B$1:$J$281,K24,FALSE)</f>
        <v>8.5450164095893649E-3</v>
      </c>
      <c r="F24" s="33">
        <f>HLOOKUP($C$1,Charts!$B$1:$J$281,L24,FALSE)</f>
        <v>49226</v>
      </c>
      <c r="G24" s="33">
        <f>HLOOKUP($C$1,Charts!$B$1:$J$281,M24,FALSE)</f>
        <v>56825</v>
      </c>
      <c r="H24" s="33">
        <f>HLOOKUP($C$1,Charts!$B$1:$J$281,N24,FALSE)</f>
        <v>61657</v>
      </c>
      <c r="I24" s="139"/>
      <c r="J24" s="139"/>
      <c r="K24" s="14">
        <v>162</v>
      </c>
      <c r="L24" s="14">
        <v>165</v>
      </c>
      <c r="M24" s="14">
        <v>164</v>
      </c>
      <c r="N24" s="14">
        <v>163</v>
      </c>
    </row>
    <row r="25" spans="2:14" ht="12.75" customHeight="1" x14ac:dyDescent="0.5">
      <c r="B25" s="8" t="s">
        <v>73</v>
      </c>
      <c r="C25" s="22">
        <f>SUM(E25*Revenues!$B$19)</f>
        <v>38250.231764303411</v>
      </c>
      <c r="D25" s="9"/>
      <c r="E25" s="21">
        <f>HLOOKUP($C$1,Charts!$B$1:$J$281,K25,FALSE)</f>
        <v>6.76684097547772E-3</v>
      </c>
      <c r="F25" s="33">
        <f>HLOOKUP($C$1,Charts!$B$1:$J$281,L25,FALSE)</f>
        <v>32254</v>
      </c>
      <c r="G25" s="33">
        <f>HLOOKUP($C$1,Charts!$B$1:$J$281,M25,FALSE)</f>
        <v>45000</v>
      </c>
      <c r="H25" s="33">
        <f>HLOOKUP($C$1,Charts!$B$1:$J$281,N25,FALSE)</f>
        <v>65400</v>
      </c>
      <c r="I25" s="139"/>
      <c r="J25" s="139"/>
      <c r="K25" s="14">
        <v>166</v>
      </c>
      <c r="L25" s="14">
        <v>169</v>
      </c>
      <c r="M25" s="14">
        <v>168</v>
      </c>
      <c r="N25" s="14">
        <v>167</v>
      </c>
    </row>
    <row r="26" spans="2:14" ht="12.75" customHeight="1" x14ac:dyDescent="0.5">
      <c r="B26" s="8" t="s">
        <v>74</v>
      </c>
      <c r="C26" s="22">
        <f>SUM(E26*Revenues!$B$19)</f>
        <v>42246.955981097955</v>
      </c>
      <c r="D26" s="9"/>
      <c r="E26" s="21">
        <f>HLOOKUP($C$1,Charts!$B$1:$J$281,K26,FALSE)</f>
        <v>7.4739006702931919E-3</v>
      </c>
      <c r="F26" s="33">
        <f>HLOOKUP($C$1,Charts!$B$1:$J$281,L26,FALSE)</f>
        <v>16463</v>
      </c>
      <c r="G26" s="33">
        <f>HLOOKUP($C$1,Charts!$B$1:$J$281,M26,FALSE)</f>
        <v>49702</v>
      </c>
      <c r="H26" s="33">
        <f>HLOOKUP($C$1,Charts!$B$1:$J$281,N26,FALSE)</f>
        <v>159172</v>
      </c>
      <c r="I26" s="139"/>
      <c r="J26" s="139"/>
      <c r="K26" s="14">
        <v>170</v>
      </c>
      <c r="L26" s="14">
        <v>173</v>
      </c>
      <c r="M26" s="14">
        <v>172</v>
      </c>
      <c r="N26" s="14">
        <v>171</v>
      </c>
    </row>
    <row r="27" spans="2:14" ht="12.75" customHeight="1" x14ac:dyDescent="0.5">
      <c r="B27" s="8" t="s">
        <v>154</v>
      </c>
      <c r="C27" s="22">
        <f>SUM(E27*Revenues!$B$19)</f>
        <v>39748.790844313786</v>
      </c>
      <c r="D27" s="14"/>
      <c r="E27" s="21">
        <f>HLOOKUP($C$1,Charts!$B$1:$J$281,K27,FALSE)</f>
        <v>7.0319507674725477E-3</v>
      </c>
      <c r="F27" s="33">
        <f>HLOOKUP($C$1,Charts!$B$1:$J$281,L27,FALSE)</f>
        <v>26519</v>
      </c>
      <c r="G27" s="33">
        <f>HLOOKUP($C$1,Charts!$B$1:$J$281,M27,FALSE)</f>
        <v>46763</v>
      </c>
      <c r="H27" s="33">
        <f>HLOOKUP($C$1,Charts!$B$1:$J$281,N27,FALSE)</f>
        <v>181712</v>
      </c>
      <c r="I27" s="139"/>
      <c r="J27" s="139"/>
      <c r="K27" s="14">
        <v>174</v>
      </c>
      <c r="L27" s="14">
        <v>177</v>
      </c>
      <c r="M27" s="14">
        <v>176</v>
      </c>
      <c r="N27" s="14">
        <v>175</v>
      </c>
    </row>
    <row r="28" spans="2:14" ht="12.75" customHeight="1" x14ac:dyDescent="0.5">
      <c r="B28" s="83" t="s">
        <v>75</v>
      </c>
      <c r="C28" s="20"/>
      <c r="D28" s="84">
        <f>SUM(E28*Revenues!$B$19)</f>
        <v>346484.19940346538</v>
      </c>
      <c r="E28" s="137">
        <f>HLOOKUP($C$1,Charts!$B$1:$J$281,K28,FALSE)</f>
        <v>6.1296451543779579E-2</v>
      </c>
      <c r="F28" s="138">
        <f>HLOOKUP($C$1,Charts!$B$1:$J$281,L28,FALSE)</f>
        <v>266136</v>
      </c>
      <c r="G28" s="138">
        <f>HLOOKUP($C$1,Charts!$B$1:$J$281,M28,FALSE)</f>
        <v>407626</v>
      </c>
      <c r="H28" s="138">
        <f>HLOOKUP($C$1,Charts!$B$1:$J$281,N28,FALSE)</f>
        <v>637293</v>
      </c>
      <c r="I28" s="139"/>
      <c r="J28" s="139"/>
      <c r="K28" s="14">
        <v>178</v>
      </c>
      <c r="L28" s="14">
        <v>181</v>
      </c>
      <c r="M28" s="14">
        <v>180</v>
      </c>
      <c r="N28" s="14">
        <v>179</v>
      </c>
    </row>
    <row r="29" spans="2:14" ht="12.75" customHeight="1" x14ac:dyDescent="0.5">
      <c r="B29" s="83" t="s">
        <v>51</v>
      </c>
      <c r="C29" s="20"/>
      <c r="D29" s="85">
        <f>SUM(E29*Revenues!$B$19)</f>
        <v>3077662.0980494204</v>
      </c>
      <c r="E29" s="137">
        <f>HLOOKUP($C$1,Charts!$B$1:$J$281,K29,FALSE)</f>
        <v>0.54446859621883958</v>
      </c>
      <c r="F29" s="138">
        <f>HLOOKUP($C$1,Charts!$B$1:$J$281,L29,FALSE)</f>
        <v>2521227</v>
      </c>
      <c r="G29" s="138">
        <f>HLOOKUP($C$1,Charts!$B$1:$J$281,M29,FALSE)</f>
        <v>3620757</v>
      </c>
      <c r="H29" s="138">
        <f>HLOOKUP($C$1,Charts!$B$1:$J$281,N29,FALSE)</f>
        <v>4517845</v>
      </c>
      <c r="I29" s="139"/>
      <c r="J29" s="139"/>
      <c r="K29" s="14">
        <v>182</v>
      </c>
      <c r="L29" s="14">
        <v>185</v>
      </c>
      <c r="M29" s="14">
        <v>184</v>
      </c>
      <c r="N29" s="14">
        <v>183</v>
      </c>
    </row>
    <row r="30" spans="2:14" ht="12.75" customHeight="1" x14ac:dyDescent="0.5">
      <c r="B30" s="18" t="s">
        <v>39</v>
      </c>
      <c r="C30" s="22">
        <f>SUM(E30*Revenues!$B$19)</f>
        <v>28108.8203158611</v>
      </c>
      <c r="D30" s="16"/>
      <c r="E30" s="21">
        <f>HLOOKUP($C$1,Charts!$B$1:$J$281,K30,FALSE)</f>
        <v>4.9727258715127273E-3</v>
      </c>
      <c r="F30" s="33">
        <f>HLOOKUP($C$1,Charts!$B$1:$J$281,L30,FALSE)</f>
        <v>14065</v>
      </c>
      <c r="G30" s="33">
        <f>HLOOKUP($C$1,Charts!$B$1:$J$281,M30,FALSE)</f>
        <v>33069</v>
      </c>
      <c r="H30" s="33">
        <f>HLOOKUP($C$1,Charts!$B$1:$J$281,N30,FALSE)</f>
        <v>56182</v>
      </c>
      <c r="I30" s="139"/>
      <c r="J30" s="139"/>
      <c r="K30" s="14">
        <v>186</v>
      </c>
      <c r="L30" s="14">
        <v>189</v>
      </c>
      <c r="M30" s="14">
        <v>188</v>
      </c>
      <c r="N30" s="14">
        <v>187</v>
      </c>
    </row>
    <row r="31" spans="2:14" ht="12.75" customHeight="1" x14ac:dyDescent="0.5">
      <c r="B31" s="18" t="s">
        <v>40</v>
      </c>
      <c r="C31" s="22">
        <f>SUM(E31*Revenues!$B$19)</f>
        <v>642450.89271324</v>
      </c>
      <c r="D31" s="16"/>
      <c r="E31" s="21">
        <f>HLOOKUP($C$1,Charts!$B$1:$J$281,K31,FALSE)</f>
        <v>0.11365586102412378</v>
      </c>
      <c r="F31" s="33">
        <f>HLOOKUP($C$1,Charts!$B$1:$J$281,L31,FALSE)</f>
        <v>483394</v>
      </c>
      <c r="G31" s="33">
        <f>HLOOKUP($C$1,Charts!$B$1:$J$281,M31,FALSE)</f>
        <v>755820</v>
      </c>
      <c r="H31" s="33">
        <f>HLOOKUP($C$1,Charts!$B$1:$J$281,N31,FALSE)</f>
        <v>975246</v>
      </c>
      <c r="I31" s="139"/>
      <c r="J31" s="139"/>
      <c r="K31" s="14">
        <v>190</v>
      </c>
      <c r="L31" s="14">
        <v>193</v>
      </c>
      <c r="M31" s="14">
        <v>192</v>
      </c>
      <c r="N31" s="14">
        <v>191</v>
      </c>
    </row>
    <row r="32" spans="2:14" ht="12.75" customHeight="1" x14ac:dyDescent="0.5">
      <c r="B32" s="15"/>
      <c r="C32" s="22"/>
      <c r="D32" s="16"/>
      <c r="E32" s="21"/>
      <c r="F32" s="33"/>
      <c r="G32" s="33"/>
      <c r="H32" s="33"/>
      <c r="I32" s="139"/>
      <c r="J32" s="139"/>
    </row>
    <row r="33" spans="2:24" ht="12.75" customHeight="1" x14ac:dyDescent="0.5">
      <c r="B33" s="18" t="s">
        <v>41</v>
      </c>
      <c r="C33" s="22">
        <f>SUM(E33*Revenues!$B$19)</f>
        <v>77955.672345950996</v>
      </c>
      <c r="D33" s="16"/>
      <c r="E33" s="21">
        <f>HLOOKUP($C$1,Charts!$B$1:$J$281,K33,FALSE)</f>
        <v>1.3791122656511393E-2</v>
      </c>
      <c r="F33" s="33">
        <f>HLOOKUP($C$1,Charts!$B$1:$J$281,L33,FALSE)</f>
        <v>54275</v>
      </c>
      <c r="G33" s="33">
        <f>HLOOKUP($C$1,Charts!$B$1:$J$281,M33,FALSE)</f>
        <v>91712</v>
      </c>
      <c r="H33" s="33">
        <f>HLOOKUP($C$1,Charts!$B$1:$J$281,N33,FALSE)</f>
        <v>144632</v>
      </c>
      <c r="I33" s="139"/>
      <c r="J33" s="139"/>
      <c r="K33" s="14">
        <v>194</v>
      </c>
      <c r="L33" s="14">
        <v>197</v>
      </c>
      <c r="M33" s="14">
        <v>196</v>
      </c>
      <c r="N33" s="14">
        <v>195</v>
      </c>
    </row>
    <row r="34" spans="2:24" ht="12.75" customHeight="1" x14ac:dyDescent="0.5">
      <c r="B34" s="18"/>
      <c r="C34" s="22"/>
      <c r="D34" s="16"/>
      <c r="E34" s="21"/>
      <c r="F34" s="33"/>
      <c r="G34" s="33"/>
      <c r="H34" s="33"/>
      <c r="I34" s="139"/>
      <c r="J34" s="139"/>
    </row>
    <row r="35" spans="2:24" ht="12.75" customHeight="1" x14ac:dyDescent="0.5">
      <c r="B35" s="8" t="s">
        <v>42</v>
      </c>
      <c r="C35" s="22">
        <f>SUM(E35*Revenues!$B$19)</f>
        <v>187371.73531546636</v>
      </c>
      <c r="D35" s="9"/>
      <c r="E35" s="21">
        <f>HLOOKUP($C$1,Charts!$B$1:$J$281,K35,FALSE)</f>
        <v>3.3147896828231257E-2</v>
      </c>
      <c r="F35" s="33">
        <f>HLOOKUP($C$1,Charts!$B$1:$J$281,L35,FALSE)</f>
        <v>152409</v>
      </c>
      <c r="G35" s="33">
        <f>HLOOKUP($C$1,Charts!$B$1:$J$281,M35,FALSE)</f>
        <v>220436</v>
      </c>
      <c r="H35" s="33">
        <f>HLOOKUP($C$1,Charts!$B$1:$J$281,N35,FALSE)</f>
        <v>344338</v>
      </c>
      <c r="I35" s="139"/>
      <c r="J35" s="139"/>
      <c r="K35" s="14">
        <v>198</v>
      </c>
      <c r="L35" s="14">
        <v>201</v>
      </c>
      <c r="M35" s="14">
        <v>200</v>
      </c>
      <c r="N35" s="14">
        <v>199</v>
      </c>
    </row>
    <row r="36" spans="2:24" ht="12.75" customHeight="1" x14ac:dyDescent="0.5">
      <c r="B36" s="8" t="s">
        <v>43</v>
      </c>
      <c r="C36" s="22">
        <f>SUM(E36*Revenues!$B$19)</f>
        <v>50144.353832701134</v>
      </c>
      <c r="D36" s="9"/>
      <c r="E36" s="21">
        <f>HLOOKUP($C$1,Charts!$B$1:$J$281,K36,FALSE)</f>
        <v>8.8710277703634918E-3</v>
      </c>
      <c r="F36" s="33">
        <f>HLOOKUP($C$1,Charts!$B$1:$J$281,L36,FALSE)</f>
        <v>31923</v>
      </c>
      <c r="G36" s="33">
        <f>HLOOKUP($C$1,Charts!$B$1:$J$281,M36,FALSE)</f>
        <v>58993</v>
      </c>
      <c r="H36" s="33">
        <f>HLOOKUP($C$1,Charts!$B$1:$J$281,N36,FALSE)</f>
        <v>159140</v>
      </c>
      <c r="I36" s="139"/>
      <c r="J36" s="139"/>
      <c r="K36" s="14">
        <v>202</v>
      </c>
      <c r="L36" s="14">
        <v>205</v>
      </c>
      <c r="M36" s="14">
        <v>204</v>
      </c>
      <c r="N36" s="14">
        <v>203</v>
      </c>
    </row>
    <row r="37" spans="2:24" ht="12.75" customHeight="1" x14ac:dyDescent="0.5">
      <c r="B37" s="8" t="s">
        <v>44</v>
      </c>
      <c r="C37" s="22">
        <f>SUM(E37*Revenues!$B$19)</f>
        <v>72700.940506686005</v>
      </c>
      <c r="D37" s="9"/>
      <c r="E37" s="21">
        <f>HLOOKUP($C$1,Charts!$B$1:$J$281,K37,FALSE)</f>
        <v>1.2861509080724653E-2</v>
      </c>
      <c r="F37" s="33">
        <f>HLOOKUP($C$1,Charts!$B$1:$J$281,L37,FALSE)</f>
        <v>53744</v>
      </c>
      <c r="G37" s="33">
        <f>HLOOKUP($C$1,Charts!$B$1:$J$281,M37,FALSE)</f>
        <v>85530</v>
      </c>
      <c r="H37" s="33">
        <f>HLOOKUP($C$1,Charts!$B$1:$J$281,N37,FALSE)</f>
        <v>200955</v>
      </c>
      <c r="I37" s="139"/>
      <c r="J37" s="139"/>
      <c r="K37" s="14">
        <v>206</v>
      </c>
      <c r="L37" s="14">
        <v>209</v>
      </c>
      <c r="M37" s="14">
        <v>208</v>
      </c>
      <c r="N37" s="14">
        <v>207</v>
      </c>
    </row>
    <row r="38" spans="2:24" ht="12.75" customHeight="1" x14ac:dyDescent="0.5">
      <c r="B38" s="8" t="s">
        <v>45</v>
      </c>
      <c r="C38" s="22">
        <f>SUM(E38*Revenues!$B$19)</f>
        <v>70903.179613763758</v>
      </c>
      <c r="D38" s="9"/>
      <c r="E38" s="21">
        <f>HLOOKUP($C$1,Charts!$B$1:$J$281,K38,FALSE)</f>
        <v>1.2543467554877201E-2</v>
      </c>
      <c r="F38" s="33">
        <f>HLOOKUP($C$1,Charts!$B$1:$J$281,L38,FALSE)</f>
        <v>26580</v>
      </c>
      <c r="G38" s="33">
        <f>HLOOKUP($C$1,Charts!$B$1:$J$281,M38,FALSE)</f>
        <v>83415</v>
      </c>
      <c r="H38" s="33">
        <f>HLOOKUP($C$1,Charts!$B$1:$J$281,N38,FALSE)</f>
        <v>172664</v>
      </c>
      <c r="I38" s="139"/>
      <c r="J38" s="139"/>
      <c r="K38" s="14">
        <v>210</v>
      </c>
      <c r="L38" s="14">
        <v>213</v>
      </c>
      <c r="M38" s="14">
        <v>212</v>
      </c>
      <c r="N38" s="14">
        <v>211</v>
      </c>
    </row>
    <row r="39" spans="2:24" s="8" customFormat="1" ht="12.75" customHeight="1" x14ac:dyDescent="0.5">
      <c r="B39" s="83" t="s">
        <v>50</v>
      </c>
      <c r="C39" s="86"/>
      <c r="D39" s="85">
        <f>SUM(E39*Revenues!$B$19)</f>
        <v>403189.74299146998</v>
      </c>
      <c r="E39" s="137">
        <f>HLOOKUP($C$1,Charts!$B$1:$J$281,K39,FALSE)</f>
        <v>7.1328218102803348E-2</v>
      </c>
      <c r="F39" s="138">
        <f>HLOOKUP($C$1,Charts!$B$1:$J$281,L39,FALSE)</f>
        <v>227817</v>
      </c>
      <c r="G39" s="138">
        <f>HLOOKUP($C$1,Charts!$B$1:$J$281,M39,FALSE)</f>
        <v>474338</v>
      </c>
      <c r="H39" s="138">
        <f>HLOOKUP($C$1,Charts!$B$1:$J$281,N39,FALSE)</f>
        <v>770266</v>
      </c>
      <c r="I39" s="139"/>
      <c r="J39" s="139"/>
      <c r="K39" s="8">
        <v>214</v>
      </c>
      <c r="L39" s="8">
        <v>217</v>
      </c>
      <c r="M39" s="8">
        <v>216</v>
      </c>
      <c r="N39" s="8">
        <v>215</v>
      </c>
      <c r="U39" s="14"/>
      <c r="V39" s="14"/>
      <c r="W39" s="14"/>
      <c r="X39" s="14"/>
    </row>
    <row r="40" spans="2:24" ht="12.75" customHeight="1" x14ac:dyDescent="0.5">
      <c r="B40" s="8" t="s">
        <v>76</v>
      </c>
      <c r="C40" s="22">
        <f>SUM(E40*Revenues!$B$19)</f>
        <v>359793.58004714234</v>
      </c>
      <c r="D40" s="9"/>
      <c r="E40" s="21">
        <f>HLOOKUP($C$1,Charts!$B$1:$J$281,K40,FALSE)</f>
        <v>6.365101145475803E-2</v>
      </c>
      <c r="F40" s="33">
        <f>HLOOKUP($C$1,Charts!$B$1:$J$281,L40,FALSE)</f>
        <v>289549</v>
      </c>
      <c r="G40" s="33">
        <f>HLOOKUP($C$1,Charts!$B$1:$J$281,M40,FALSE)</f>
        <v>423284</v>
      </c>
      <c r="H40" s="33">
        <f>HLOOKUP($C$1,Charts!$B$1:$J$281,N40,FALSE)</f>
        <v>559500</v>
      </c>
      <c r="I40" s="139"/>
      <c r="J40" s="139"/>
      <c r="K40" s="14">
        <v>218</v>
      </c>
      <c r="L40" s="14">
        <v>221</v>
      </c>
      <c r="M40" s="14">
        <v>220</v>
      </c>
      <c r="N40" s="14">
        <v>219</v>
      </c>
    </row>
    <row r="41" spans="2:24" ht="12.75" customHeight="1" x14ac:dyDescent="0.5">
      <c r="B41" s="8" t="s">
        <v>77</v>
      </c>
      <c r="C41" s="22">
        <f>SUM(E41*Revenues!$B$19)</f>
        <v>335090.73036860483</v>
      </c>
      <c r="D41" s="9"/>
      <c r="E41" s="21">
        <f>HLOOKUP($C$1,Charts!$B$1:$J$281,K41,FALSE)</f>
        <v>5.9280835178550616E-2</v>
      </c>
      <c r="F41" s="33">
        <f>HLOOKUP($C$1,Charts!$B$1:$J$281,L41,FALSE)</f>
        <v>213862</v>
      </c>
      <c r="G41" s="33">
        <f>HLOOKUP($C$1,Charts!$B$1:$J$281,M41,FALSE)</f>
        <v>394222</v>
      </c>
      <c r="H41" s="33">
        <f>HLOOKUP($C$1,Charts!$B$1:$J$281,N41,FALSE)</f>
        <v>651714</v>
      </c>
      <c r="I41" s="139"/>
      <c r="J41" s="139"/>
      <c r="K41" s="14">
        <v>222</v>
      </c>
      <c r="L41" s="14">
        <v>225</v>
      </c>
      <c r="M41" s="14">
        <v>224</v>
      </c>
      <c r="N41" s="14">
        <v>223</v>
      </c>
    </row>
    <row r="42" spans="2:24" ht="12.75" customHeight="1" x14ac:dyDescent="0.5">
      <c r="B42" s="8" t="s">
        <v>78</v>
      </c>
      <c r="C42" s="22">
        <f>SUM(E42*Revenues!$B$19)</f>
        <v>101307.01383548306</v>
      </c>
      <c r="D42" s="9"/>
      <c r="E42" s="21">
        <f>HLOOKUP($C$1,Charts!$B$1:$J$281,K42,FALSE)</f>
        <v>1.7922203884918591E-2</v>
      </c>
      <c r="F42" s="33">
        <f>HLOOKUP($C$1,Charts!$B$1:$J$281,L42,FALSE)</f>
        <v>35192</v>
      </c>
      <c r="G42" s="33">
        <f>HLOOKUP($C$1,Charts!$B$1:$J$281,M42,FALSE)</f>
        <v>119184</v>
      </c>
      <c r="H42" s="33">
        <f>HLOOKUP($C$1,Charts!$B$1:$J$281,N42,FALSE)</f>
        <v>194463</v>
      </c>
      <c r="I42" s="139"/>
      <c r="J42" s="139"/>
      <c r="K42" s="14">
        <v>226</v>
      </c>
      <c r="L42" s="14">
        <v>229</v>
      </c>
      <c r="M42" s="14">
        <v>228</v>
      </c>
      <c r="N42" s="14">
        <v>227</v>
      </c>
    </row>
    <row r="43" spans="2:24" ht="12.75" customHeight="1" x14ac:dyDescent="0.5">
      <c r="B43" s="8" t="s">
        <v>79</v>
      </c>
      <c r="C43" s="22">
        <f>SUM(E43*Revenues!$B$19)</f>
        <v>156307.44709195007</v>
      </c>
      <c r="D43" s="9"/>
      <c r="E43" s="21">
        <f>HLOOKUP($C$1,Charts!$B$1:$J$281,K43,FALSE)</f>
        <v>2.7652319710679954E-2</v>
      </c>
      <c r="F43" s="33">
        <f>HLOOKUP($C$1,Charts!$B$1:$J$281,L43,FALSE)</f>
        <v>100146</v>
      </c>
      <c r="G43" s="33">
        <f>HLOOKUP($C$1,Charts!$B$1:$J$281,M43,FALSE)</f>
        <v>183890</v>
      </c>
      <c r="H43" s="33">
        <f>HLOOKUP($C$1,Charts!$B$1:$J$281,N43,FALSE)</f>
        <v>383892</v>
      </c>
      <c r="I43" s="139"/>
      <c r="J43" s="139"/>
      <c r="K43" s="14">
        <v>230</v>
      </c>
      <c r="L43" s="14">
        <v>233</v>
      </c>
      <c r="M43" s="14">
        <v>232</v>
      </c>
      <c r="N43" s="14">
        <v>231</v>
      </c>
    </row>
    <row r="44" spans="2:24" ht="12.75" customHeight="1" x14ac:dyDescent="0.5">
      <c r="B44" s="8" t="s">
        <v>80</v>
      </c>
      <c r="C44" s="22">
        <f>SUM(E44*Revenues!$B$19)</f>
        <v>277108.4790448228</v>
      </c>
      <c r="D44" s="9"/>
      <c r="E44" s="21">
        <f>HLOOKUP($C$1,Charts!$B$1:$J$281,K44,FALSE)</f>
        <v>4.9023206505189793E-2</v>
      </c>
      <c r="F44" s="33">
        <f>HLOOKUP($C$1,Charts!$B$1:$J$281,L44,FALSE)</f>
        <v>133560</v>
      </c>
      <c r="G44" s="33">
        <f>HLOOKUP($C$1,Charts!$B$1:$J$281,M44,FALSE)</f>
        <v>326008</v>
      </c>
      <c r="H44" s="33">
        <f>HLOOKUP($C$1,Charts!$B$1:$J$281,N44,FALSE)</f>
        <v>596928</v>
      </c>
      <c r="I44" s="139"/>
      <c r="J44" s="139"/>
      <c r="K44" s="14">
        <v>234</v>
      </c>
      <c r="L44" s="14">
        <v>237</v>
      </c>
      <c r="M44" s="14">
        <v>236</v>
      </c>
      <c r="N44" s="14">
        <v>235</v>
      </c>
    </row>
    <row r="45" spans="2:24" ht="12.75" customHeight="1" x14ac:dyDescent="0.5">
      <c r="B45" s="83" t="s">
        <v>81</v>
      </c>
      <c r="C45" s="14"/>
      <c r="D45" s="85">
        <f>SUM(E45*Revenues!$B$19)</f>
        <v>1086555.63361526</v>
      </c>
      <c r="E45" s="137">
        <f>HLOOKUP($C$1,Charts!$B$1:$J$281,K45,FALSE)</f>
        <v>0.19222234335702981</v>
      </c>
      <c r="F45" s="138">
        <f>HLOOKUP($C$1,Charts!$B$1:$J$281,L45,FALSE)</f>
        <v>673228</v>
      </c>
      <c r="G45" s="138">
        <f>HLOOKUP($C$1,Charts!$B$1:$J$281,M45,FALSE)</f>
        <v>1278293</v>
      </c>
      <c r="H45" s="138">
        <f>HLOOKUP($C$1,Charts!$B$1:$J$281,N45,FALSE)</f>
        <v>1929630</v>
      </c>
      <c r="I45" s="139"/>
      <c r="J45" s="139"/>
      <c r="K45" s="14">
        <v>238</v>
      </c>
      <c r="L45" s="14">
        <v>241</v>
      </c>
      <c r="M45" s="14">
        <v>240</v>
      </c>
      <c r="N45" s="14">
        <v>239</v>
      </c>
    </row>
    <row r="46" spans="2:24" ht="12.75" customHeight="1" x14ac:dyDescent="0.5">
      <c r="B46" s="83" t="s">
        <v>82</v>
      </c>
      <c r="C46" s="14"/>
      <c r="D46" s="85">
        <f>SUM(E46*Revenues!$B$19)</f>
        <v>1656631.1377943857</v>
      </c>
      <c r="E46" s="137">
        <f>HLOOKUP($C$1,Charts!$B$1:$J$281,K46,FALSE)</f>
        <v>0.29307428863584245</v>
      </c>
      <c r="F46" s="138">
        <f>HLOOKUP($C$1,Charts!$B$1:$J$281,L46,FALSE)</f>
        <v>1029087</v>
      </c>
      <c r="G46" s="138">
        <f>HLOOKUP($C$1,Charts!$B$1:$J$281,M46,FALSE)</f>
        <v>1948966</v>
      </c>
      <c r="H46" s="138">
        <f>HLOOKUP($C$1,Charts!$B$1:$J$281,N46,FALSE)</f>
        <v>2629622</v>
      </c>
      <c r="I46" s="139"/>
      <c r="J46" s="139"/>
      <c r="K46" s="14">
        <v>242</v>
      </c>
      <c r="L46" s="14">
        <v>245</v>
      </c>
      <c r="M46" s="14">
        <v>244</v>
      </c>
      <c r="N46" s="14">
        <v>243</v>
      </c>
    </row>
    <row r="47" spans="2:24" ht="12.75" customHeight="1" x14ac:dyDescent="0.5">
      <c r="B47" s="83" t="s">
        <v>83</v>
      </c>
      <c r="C47" s="14"/>
      <c r="D47" s="85">
        <f>SUM(E47*Revenues!$B$19)</f>
        <v>5299876.4628035026</v>
      </c>
      <c r="E47" s="137">
        <f>HLOOKUP($C$1,Charts!$B$1:$J$281,K47,FALSE)</f>
        <v>0.93760010225448587</v>
      </c>
      <c r="F47" s="138">
        <f>HLOOKUP($C$1,Charts!$B$1:$J$281,L47,FALSE)</f>
        <v>3955269</v>
      </c>
      <c r="G47" s="138">
        <f>HLOOKUP($C$1,Charts!$B$1:$J$281,M47,FALSE)</f>
        <v>6235111</v>
      </c>
      <c r="H47" s="138">
        <f>HLOOKUP($C$1,Charts!$B$1:$J$281,N47,FALSE)</f>
        <v>8121920</v>
      </c>
      <c r="I47" s="139"/>
      <c r="J47" s="139"/>
      <c r="K47" s="14">
        <v>246</v>
      </c>
      <c r="L47" s="14">
        <v>249</v>
      </c>
      <c r="M47" s="14">
        <v>248</v>
      </c>
      <c r="N47" s="14">
        <v>247</v>
      </c>
    </row>
    <row r="48" spans="2:24" x14ac:dyDescent="0.5">
      <c r="B48" s="8" t="s">
        <v>88</v>
      </c>
      <c r="C48" s="22">
        <f>SUM(E48*Revenues!$B$19)</f>
        <v>188837.14419461435</v>
      </c>
      <c r="D48" s="9"/>
      <c r="E48" s="21">
        <f>HLOOKUP($C$1,Charts!$B$1:$J$281,266,FALSE)</f>
        <v>3.3407142024714009E-2</v>
      </c>
      <c r="F48" s="33">
        <f>HLOOKUP($C$1,Charts!$B$1:$J$281,L48,FALSE)</f>
        <v>148111</v>
      </c>
      <c r="G48" s="33">
        <f>HLOOKUP($C$1,Charts!$B$1:$J$281,M48,FALSE)</f>
        <v>306608</v>
      </c>
      <c r="H48" s="33">
        <f>HLOOKUP($C$1,Charts!$B$1:$J$281,N48,FALSE)</f>
        <v>769973</v>
      </c>
      <c r="I48" s="139"/>
      <c r="J48" s="139"/>
      <c r="K48" s="14">
        <v>270</v>
      </c>
      <c r="L48" s="14">
        <v>273</v>
      </c>
      <c r="M48" s="14">
        <v>272</v>
      </c>
      <c r="N48" s="14">
        <v>271</v>
      </c>
    </row>
    <row r="49" spans="2:14" x14ac:dyDescent="0.5">
      <c r="B49" s="8" t="s">
        <v>155</v>
      </c>
      <c r="C49" s="22">
        <f>SUM(E49*Revenues!$B$19)</f>
        <v>260618.37912865644</v>
      </c>
      <c r="D49" s="9"/>
      <c r="E49" s="21">
        <f>HLOOKUP($C$1,Charts!$B$1:$J$281,270,FALSE)</f>
        <v>4.6105946173539393E-2</v>
      </c>
      <c r="F49" s="33">
        <f>HLOOKUP($C$1,Charts!$B$1:$J$281,L49,FALSE)</f>
        <v>38944</v>
      </c>
      <c r="G49" s="33">
        <f>HLOOKUP($C$1,Charts!$B$1:$J$281,M49,FALSE)</f>
        <v>108356</v>
      </c>
      <c r="H49" s="33">
        <f>HLOOKUP($C$1,Charts!$B$1:$J$281,N49,FALSE)</f>
        <v>228712</v>
      </c>
      <c r="I49" s="139"/>
      <c r="J49" s="139"/>
      <c r="K49" s="14">
        <v>274</v>
      </c>
      <c r="L49" s="14">
        <v>277</v>
      </c>
      <c r="M49" s="14">
        <v>276</v>
      </c>
      <c r="N49" s="14">
        <v>275</v>
      </c>
    </row>
    <row r="50" spans="2:14" ht="12.75" customHeight="1" x14ac:dyDescent="0.5">
      <c r="C50" s="22"/>
      <c r="D50" s="9"/>
      <c r="E50" s="20"/>
      <c r="F50" s="33"/>
      <c r="G50" s="33"/>
      <c r="H50" s="33"/>
      <c r="I50" s="139"/>
      <c r="J50" s="139"/>
    </row>
    <row r="51" spans="2:14" ht="12.75" customHeight="1" x14ac:dyDescent="0.5">
      <c r="B51" s="78" t="s">
        <v>156</v>
      </c>
      <c r="C51" s="12"/>
      <c r="D51" s="80">
        <f>SUM(C47:D49)</f>
        <v>5749331.9861267731</v>
      </c>
      <c r="E51" s="79">
        <f>SUM(E47:E49)</f>
        <v>1.0171131904527393</v>
      </c>
      <c r="F51" s="33"/>
      <c r="G51" s="33"/>
      <c r="H51" s="33"/>
      <c r="I51" s="139"/>
      <c r="J51" s="139"/>
    </row>
    <row r="52" spans="2:14" ht="12.75" customHeight="1" x14ac:dyDescent="0.5">
      <c r="C52" s="12"/>
      <c r="D52" s="9"/>
      <c r="E52" s="20"/>
      <c r="F52" s="33"/>
      <c r="G52" s="33"/>
      <c r="H52" s="33"/>
      <c r="I52" s="139"/>
      <c r="J52" s="139"/>
    </row>
    <row r="53" spans="2:14" x14ac:dyDescent="0.5">
      <c r="B53" s="8" t="s">
        <v>46</v>
      </c>
      <c r="C53" s="12"/>
      <c r="D53" s="9"/>
      <c r="E53" s="20"/>
      <c r="F53" s="33">
        <f>HLOOKUP($C$1,Charts!$B$1:$J$281,L53,FALSE)</f>
        <v>-179616</v>
      </c>
      <c r="G53" s="33">
        <f>HLOOKUP($C$1,Charts!$B$1:$J$281,M53,FALSE)</f>
        <v>102409</v>
      </c>
      <c r="H53" s="33">
        <f>HLOOKUP($C$1,Charts!$B$1:$J$281,N53,FALSE)</f>
        <v>444555</v>
      </c>
      <c r="I53" s="139"/>
      <c r="J53" s="139"/>
      <c r="L53" s="14">
        <v>253</v>
      </c>
      <c r="M53" s="14">
        <v>252</v>
      </c>
      <c r="N53" s="14">
        <v>251</v>
      </c>
    </row>
    <row r="54" spans="2:14" x14ac:dyDescent="0.5">
      <c r="B54" s="8" t="s">
        <v>91</v>
      </c>
      <c r="C54" s="12"/>
      <c r="D54" s="9"/>
      <c r="E54" s="20"/>
      <c r="F54" s="33">
        <f>HLOOKUP($C$1,Charts!$B$1:$J$281,L54,FALSE)</f>
        <v>136368</v>
      </c>
      <c r="G54" s="33">
        <f>HLOOKUP($C$1,Charts!$B$1:$J$281,M54,FALSE)</f>
        <v>211876</v>
      </c>
      <c r="H54" s="33">
        <f>HLOOKUP($C$1,Charts!$B$1:$J$281,N54,FALSE)</f>
        <v>320000</v>
      </c>
      <c r="I54" s="139"/>
      <c r="J54" s="139"/>
      <c r="K54" s="14">
        <v>254</v>
      </c>
      <c r="L54" s="14">
        <v>257</v>
      </c>
      <c r="M54" s="14">
        <v>256</v>
      </c>
      <c r="N54" s="14">
        <v>255</v>
      </c>
    </row>
    <row r="55" spans="2:14" x14ac:dyDescent="0.5">
      <c r="B55" s="8" t="s">
        <v>92</v>
      </c>
      <c r="C55" s="20"/>
      <c r="D55" s="14"/>
      <c r="E55" s="81" t="s">
        <v>95</v>
      </c>
      <c r="F55" s="7">
        <f>HLOOKUP($C$1,Charts!$B$1:$J$281,L55,FALSE)</f>
        <v>0.56100000000000005</v>
      </c>
      <c r="G55" s="82" t="s">
        <v>96</v>
      </c>
      <c r="H55" s="7">
        <f>HLOOKUP($C$1,Charts!$B$1:$J$281,N55,FALSE)</f>
        <v>0.439</v>
      </c>
      <c r="I55" s="139"/>
      <c r="J55" s="139"/>
      <c r="L55" s="14">
        <v>259</v>
      </c>
      <c r="N55" s="14">
        <v>260</v>
      </c>
    </row>
    <row r="56" spans="2:14" x14ac:dyDescent="0.5">
      <c r="B56" s="8" t="s">
        <v>93</v>
      </c>
      <c r="C56" s="12"/>
      <c r="D56" s="9"/>
      <c r="E56" s="20"/>
      <c r="F56" s="33">
        <f>HLOOKUP($C$1,Charts!$B$1:$J$281,L56,FALSE)</f>
        <v>1137870</v>
      </c>
      <c r="G56" s="33">
        <f>HLOOKUP($C$1,Charts!$B$1:$J$281,M56,FALSE)</f>
        <v>2742995</v>
      </c>
      <c r="H56" s="33">
        <f>HLOOKUP($C$1,Charts!$B$1:$J$281,N56,FALSE)</f>
        <v>6104711</v>
      </c>
      <c r="I56" s="139"/>
      <c r="J56" s="139"/>
      <c r="K56" s="14">
        <v>262</v>
      </c>
      <c r="L56" s="14">
        <v>265</v>
      </c>
      <c r="M56" s="14">
        <v>264</v>
      </c>
      <c r="N56" s="14">
        <v>263</v>
      </c>
    </row>
    <row r="57" spans="2:14" x14ac:dyDescent="0.5">
      <c r="B57" s="8" t="s">
        <v>87</v>
      </c>
      <c r="C57" s="136" t="s">
        <v>166</v>
      </c>
      <c r="D57" s="9"/>
      <c r="E57" s="21"/>
      <c r="F57" s="33">
        <f>HLOOKUP($C$1,Charts!$B$1:$J$281,L57,FALSE)</f>
        <v>110813</v>
      </c>
      <c r="G57" s="33">
        <f>HLOOKUP($C$1,Charts!$B$1:$J$281,M57,FALSE)</f>
        <v>222160</v>
      </c>
      <c r="H57" s="33">
        <f>HLOOKUP($C$1,Charts!$B$1:$J$281,N57,FALSE)</f>
        <v>318946</v>
      </c>
      <c r="I57" s="139"/>
      <c r="J57" s="139"/>
      <c r="K57" s="14">
        <v>266</v>
      </c>
      <c r="L57" s="14">
        <v>269</v>
      </c>
      <c r="M57" s="14">
        <v>268</v>
      </c>
      <c r="N57" s="14">
        <v>267</v>
      </c>
    </row>
    <row r="58" spans="2:14" x14ac:dyDescent="0.5">
      <c r="B58" s="19" t="s">
        <v>90</v>
      </c>
      <c r="C58" s="20"/>
      <c r="D58" s="14"/>
      <c r="E58" s="20"/>
      <c r="F58" s="33">
        <f>HLOOKUP($C$1,Charts!$B$1:$J$281,L58,FALSE)</f>
        <v>120375</v>
      </c>
      <c r="G58" s="33">
        <f>HLOOKUP($C$1,Charts!$B$1:$J$281,M58,FALSE)</f>
        <v>273257</v>
      </c>
      <c r="H58" s="33">
        <f>HLOOKUP($C$1,Charts!$B$1:$J$281,N58,FALSE)</f>
        <v>522425</v>
      </c>
      <c r="I58" s="139"/>
      <c r="J58" s="139"/>
      <c r="K58" s="14">
        <v>278</v>
      </c>
      <c r="L58" s="14">
        <v>281</v>
      </c>
      <c r="M58" s="14">
        <v>280</v>
      </c>
      <c r="N58" s="14">
        <v>279</v>
      </c>
    </row>
    <row r="59" spans="2:14" ht="12.75" customHeight="1" x14ac:dyDescent="0.5">
      <c r="B59" s="14"/>
      <c r="C59" s="14"/>
      <c r="D59" s="14"/>
      <c r="F59" s="14"/>
      <c r="G59" s="14"/>
      <c r="H59" s="14"/>
      <c r="I59" s="139"/>
      <c r="J59" s="139"/>
    </row>
    <row r="60" spans="2:14" ht="12.75" customHeight="1" x14ac:dyDescent="0.5">
      <c r="B60" s="14"/>
      <c r="C60" s="14"/>
      <c r="D60" s="14"/>
      <c r="F60" s="14"/>
      <c r="G60" s="14"/>
      <c r="H60" s="14"/>
      <c r="I60" s="139"/>
      <c r="J60" s="139"/>
    </row>
    <row r="61" spans="2:14" ht="12.75" customHeight="1" x14ac:dyDescent="0.5">
      <c r="B61" s="14"/>
      <c r="C61" s="14"/>
      <c r="D61" s="14"/>
      <c r="F61" s="14"/>
      <c r="G61" s="14"/>
      <c r="H61" s="14"/>
      <c r="I61" s="139"/>
      <c r="J61" s="139"/>
    </row>
    <row r="62" spans="2:14" ht="12.75" customHeight="1" x14ac:dyDescent="0.5">
      <c r="C62" s="20"/>
      <c r="D62" s="14"/>
      <c r="E62" s="20"/>
      <c r="F62" s="34"/>
    </row>
    <row r="63" spans="2:14" ht="12.75" customHeight="1" x14ac:dyDescent="0.5">
      <c r="C63" s="20"/>
      <c r="D63" s="14"/>
      <c r="E63" s="20"/>
      <c r="F63" s="34"/>
    </row>
    <row r="64" spans="2:14" ht="12.75" customHeight="1" x14ac:dyDescent="0.5">
      <c r="C64" s="20"/>
      <c r="D64" s="14"/>
      <c r="E64" s="20"/>
      <c r="F64" s="34"/>
    </row>
    <row r="65" spans="3:6" ht="12.75" customHeight="1" x14ac:dyDescent="0.5">
      <c r="C65" s="20"/>
      <c r="D65" s="14"/>
      <c r="E65" s="20"/>
      <c r="F65" s="34"/>
    </row>
    <row r="66" spans="3:6" ht="12.75" customHeight="1" x14ac:dyDescent="0.5"/>
    <row r="67" spans="3:6" ht="12.75" customHeight="1" x14ac:dyDescent="0.5"/>
    <row r="68" spans="3:6" ht="12.75" customHeight="1" x14ac:dyDescent="0.5"/>
    <row r="69" spans="3:6" ht="12.75" customHeight="1" x14ac:dyDescent="0.5"/>
  </sheetData>
  <sheetProtection sheet="1" objects="1" scenarios="1"/>
  <mergeCells count="5">
    <mergeCell ref="D1:D2"/>
    <mergeCell ref="E1:E3"/>
    <mergeCell ref="F1:F3"/>
    <mergeCell ref="G1:G3"/>
    <mergeCell ref="H1: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workbookViewId="0">
      <selection activeCell="L30" sqref="L30"/>
    </sheetView>
  </sheetViews>
  <sheetFormatPr defaultRowHeight="15.75" x14ac:dyDescent="0.5"/>
  <cols>
    <col min="1" max="1" width="12.75" customWidth="1"/>
    <col min="12" max="13" width="11.5" customWidth="1"/>
    <col min="14" max="14" width="9" style="56"/>
    <col min="15" max="15" width="9" style="45"/>
  </cols>
  <sheetData>
    <row r="1" spans="1:20" ht="16.149999999999999" thickBot="1" x14ac:dyDescent="0.55000000000000004">
      <c r="A1" s="57" t="s">
        <v>117</v>
      </c>
      <c r="L1" s="56" t="s">
        <v>118</v>
      </c>
    </row>
    <row r="2" spans="1:20" ht="16.149999999999999" thickBot="1" x14ac:dyDescent="0.55000000000000004">
      <c r="C2" s="58" t="s">
        <v>153</v>
      </c>
      <c r="L2" s="174" t="s">
        <v>152</v>
      </c>
      <c r="M2" s="175"/>
      <c r="N2" s="59" t="s">
        <v>119</v>
      </c>
      <c r="O2" s="45" t="s">
        <v>119</v>
      </c>
    </row>
    <row r="3" spans="1:20" ht="15.75" customHeight="1" x14ac:dyDescent="0.5">
      <c r="A3" s="45" t="s">
        <v>157</v>
      </c>
      <c r="B3" t="s">
        <v>121</v>
      </c>
      <c r="C3" s="60" t="s">
        <v>122</v>
      </c>
      <c r="D3" s="60" t="s">
        <v>123</v>
      </c>
      <c r="E3" s="60" t="s">
        <v>124</v>
      </c>
      <c r="F3" s="60" t="s">
        <v>125</v>
      </c>
      <c r="G3" s="60" t="s">
        <v>126</v>
      </c>
      <c r="H3" s="61" t="s">
        <v>127</v>
      </c>
      <c r="I3" s="61" t="s">
        <v>128</v>
      </c>
      <c r="J3" s="61" t="s">
        <v>129</v>
      </c>
      <c r="K3" s="61" t="s">
        <v>130</v>
      </c>
      <c r="L3" s="88" t="s">
        <v>131</v>
      </c>
      <c r="M3" s="89" t="s">
        <v>168</v>
      </c>
      <c r="N3" s="62" t="s">
        <v>132</v>
      </c>
      <c r="O3" s="63" t="s">
        <v>120</v>
      </c>
      <c r="Q3" s="176" t="s">
        <v>158</v>
      </c>
      <c r="R3" s="176"/>
      <c r="S3" s="176"/>
      <c r="T3" s="176"/>
    </row>
    <row r="4" spans="1:20" ht="15.75" customHeight="1" x14ac:dyDescent="0.5">
      <c r="A4" s="65">
        <f>ROUND(AVERAGE(C4:K4),0)</f>
        <v>12</v>
      </c>
      <c r="B4" s="64" t="s">
        <v>133</v>
      </c>
      <c r="C4" s="110">
        <v>11</v>
      </c>
      <c r="D4" s="111">
        <v>11</v>
      </c>
      <c r="E4" s="112">
        <v>16</v>
      </c>
      <c r="F4" s="113">
        <v>11</v>
      </c>
      <c r="G4" s="114">
        <v>11</v>
      </c>
      <c r="H4" s="115">
        <v>14</v>
      </c>
      <c r="I4" s="111">
        <v>12</v>
      </c>
      <c r="J4" s="112">
        <v>12</v>
      </c>
      <c r="K4" s="113">
        <v>14</v>
      </c>
      <c r="L4" s="91">
        <v>13</v>
      </c>
      <c r="M4" s="92">
        <v>13</v>
      </c>
      <c r="N4" s="93">
        <f t="shared" ref="N4:N17" si="0">F25/100</f>
        <v>0.85333333333333328</v>
      </c>
      <c r="O4" s="94">
        <f t="shared" ref="O4:O18" si="1">J25</f>
        <v>12.666666666666666</v>
      </c>
      <c r="Q4" s="176"/>
      <c r="R4" s="176"/>
      <c r="S4" s="176"/>
      <c r="T4" s="176"/>
    </row>
    <row r="5" spans="1:20" ht="15.75" customHeight="1" x14ac:dyDescent="0.5">
      <c r="A5" s="65">
        <f t="shared" ref="A5:A18" si="2">ROUND(AVERAGE(C5:K5),0)</f>
        <v>19</v>
      </c>
      <c r="B5" s="64" t="s">
        <v>134</v>
      </c>
      <c r="C5" s="116">
        <v>19</v>
      </c>
      <c r="D5" s="115">
        <v>18</v>
      </c>
      <c r="E5" s="111">
        <v>15</v>
      </c>
      <c r="F5" s="112">
        <v>18</v>
      </c>
      <c r="G5" s="113">
        <v>19</v>
      </c>
      <c r="H5" s="114">
        <v>15</v>
      </c>
      <c r="I5" s="115">
        <v>23</v>
      </c>
      <c r="J5" s="111">
        <v>23</v>
      </c>
      <c r="K5" s="112">
        <v>22</v>
      </c>
      <c r="L5" s="95">
        <f>SUM(K4*N4)+O5</f>
        <v>23.946666666666665</v>
      </c>
      <c r="M5" s="96">
        <f>SUM(L4*N4)+O5</f>
        <v>23.093333333333334</v>
      </c>
      <c r="N5" s="93">
        <f t="shared" si="0"/>
        <v>0.81</v>
      </c>
      <c r="O5" s="94">
        <f t="shared" si="1"/>
        <v>12</v>
      </c>
      <c r="Q5" s="176"/>
      <c r="R5" s="176"/>
      <c r="S5" s="176"/>
      <c r="T5" s="176"/>
    </row>
    <row r="6" spans="1:20" ht="15.75" customHeight="1" x14ac:dyDescent="0.5">
      <c r="A6" s="65">
        <f t="shared" si="2"/>
        <v>18</v>
      </c>
      <c r="B6" s="64" t="s">
        <v>111</v>
      </c>
      <c r="C6" s="117">
        <v>20</v>
      </c>
      <c r="D6" s="114">
        <v>19</v>
      </c>
      <c r="E6" s="115">
        <v>18</v>
      </c>
      <c r="F6" s="111">
        <v>17</v>
      </c>
      <c r="G6" s="112">
        <v>17</v>
      </c>
      <c r="H6" s="113">
        <v>21</v>
      </c>
      <c r="I6" s="114">
        <v>17</v>
      </c>
      <c r="J6" s="115">
        <v>15</v>
      </c>
      <c r="K6" s="111">
        <v>17</v>
      </c>
      <c r="L6" s="97">
        <f t="shared" ref="L6:L18" si="3">SUM(K5*N5)+O6</f>
        <v>17.82</v>
      </c>
      <c r="M6" s="98">
        <f t="shared" ref="M6:M18" si="4">SUM(L5*N5)+O6</f>
        <v>19.396799999999999</v>
      </c>
      <c r="N6" s="93">
        <f t="shared" si="0"/>
        <v>0.84666666666666668</v>
      </c>
      <c r="O6" s="94">
        <f t="shared" si="1"/>
        <v>0</v>
      </c>
      <c r="Q6" s="176"/>
      <c r="R6" s="176"/>
      <c r="S6" s="176"/>
      <c r="T6" s="176"/>
    </row>
    <row r="7" spans="1:20" ht="15.75" customHeight="1" x14ac:dyDescent="0.5">
      <c r="A7" s="65">
        <f t="shared" si="2"/>
        <v>21</v>
      </c>
      <c r="B7" s="64">
        <v>1</v>
      </c>
      <c r="C7" s="118">
        <v>28</v>
      </c>
      <c r="D7" s="113">
        <v>23</v>
      </c>
      <c r="E7" s="114">
        <v>21</v>
      </c>
      <c r="F7" s="115">
        <v>19</v>
      </c>
      <c r="G7" s="111">
        <v>20</v>
      </c>
      <c r="H7" s="112">
        <v>21</v>
      </c>
      <c r="I7" s="113">
        <v>23</v>
      </c>
      <c r="J7" s="114">
        <v>18</v>
      </c>
      <c r="K7" s="115">
        <v>17</v>
      </c>
      <c r="L7" s="99">
        <f t="shared" si="3"/>
        <v>20.060000000000002</v>
      </c>
      <c r="M7" s="100">
        <f t="shared" si="4"/>
        <v>20.754266666666666</v>
      </c>
      <c r="N7" s="93">
        <f t="shared" si="0"/>
        <v>0.90333333333333332</v>
      </c>
      <c r="O7" s="94">
        <f t="shared" si="1"/>
        <v>5.666666666666667</v>
      </c>
      <c r="Q7" s="176"/>
      <c r="R7" s="176"/>
      <c r="S7" s="176"/>
      <c r="T7" s="176"/>
    </row>
    <row r="8" spans="1:20" ht="15.75" customHeight="1" x14ac:dyDescent="0.5">
      <c r="A8" s="65">
        <f t="shared" si="2"/>
        <v>23</v>
      </c>
      <c r="B8" s="64">
        <v>2</v>
      </c>
      <c r="C8" s="119">
        <v>26</v>
      </c>
      <c r="D8" s="112">
        <v>29</v>
      </c>
      <c r="E8" s="113">
        <v>21</v>
      </c>
      <c r="F8" s="114">
        <v>23</v>
      </c>
      <c r="G8" s="115">
        <v>20</v>
      </c>
      <c r="H8" s="111">
        <v>20</v>
      </c>
      <c r="I8" s="112">
        <v>20</v>
      </c>
      <c r="J8" s="113">
        <v>23</v>
      </c>
      <c r="K8" s="114">
        <v>22</v>
      </c>
      <c r="L8" s="101">
        <f t="shared" si="3"/>
        <v>20.023333333333333</v>
      </c>
      <c r="M8" s="102">
        <f t="shared" si="4"/>
        <v>22.787533333333336</v>
      </c>
      <c r="N8" s="93">
        <f t="shared" si="0"/>
        <v>0.90333333333333332</v>
      </c>
      <c r="O8" s="94">
        <f t="shared" si="1"/>
        <v>4.666666666666667</v>
      </c>
      <c r="Q8" s="176"/>
      <c r="R8" s="176"/>
      <c r="S8" s="176"/>
      <c r="T8" s="176"/>
    </row>
    <row r="9" spans="1:20" ht="15.75" customHeight="1" x14ac:dyDescent="0.5">
      <c r="A9" s="65">
        <f t="shared" si="2"/>
        <v>25</v>
      </c>
      <c r="B9" s="64">
        <v>3</v>
      </c>
      <c r="C9" s="110">
        <v>29</v>
      </c>
      <c r="D9" s="111">
        <v>29</v>
      </c>
      <c r="E9" s="112">
        <v>30</v>
      </c>
      <c r="F9" s="113">
        <v>26</v>
      </c>
      <c r="G9" s="114">
        <v>24</v>
      </c>
      <c r="H9" s="115">
        <v>21</v>
      </c>
      <c r="I9" s="111">
        <v>23</v>
      </c>
      <c r="J9" s="112">
        <v>22</v>
      </c>
      <c r="K9" s="113">
        <v>23</v>
      </c>
      <c r="L9" s="91">
        <f t="shared" si="3"/>
        <v>23.206666666666667</v>
      </c>
      <c r="M9" s="92">
        <f t="shared" si="4"/>
        <v>21.421077777777775</v>
      </c>
      <c r="N9" s="93">
        <f t="shared" si="0"/>
        <v>0.92</v>
      </c>
      <c r="O9" s="94">
        <f t="shared" si="1"/>
        <v>3.3333333333333335</v>
      </c>
      <c r="Q9" s="176"/>
      <c r="R9" s="176"/>
      <c r="S9" s="176"/>
      <c r="T9" s="176"/>
    </row>
    <row r="10" spans="1:20" ht="15.75" customHeight="1" x14ac:dyDescent="0.5">
      <c r="A10" s="65">
        <f t="shared" si="2"/>
        <v>27</v>
      </c>
      <c r="B10" s="64">
        <v>4</v>
      </c>
      <c r="C10" s="116">
        <v>27</v>
      </c>
      <c r="D10" s="115">
        <v>34</v>
      </c>
      <c r="E10" s="111">
        <v>29</v>
      </c>
      <c r="F10" s="112">
        <v>31</v>
      </c>
      <c r="G10" s="113">
        <v>26</v>
      </c>
      <c r="H10" s="114">
        <v>26</v>
      </c>
      <c r="I10" s="115">
        <v>24</v>
      </c>
      <c r="J10" s="111">
        <v>21</v>
      </c>
      <c r="K10" s="112">
        <v>24</v>
      </c>
      <c r="L10" s="95">
        <f t="shared" si="3"/>
        <v>23.493333333333332</v>
      </c>
      <c r="M10" s="96">
        <f t="shared" si="4"/>
        <v>23.683466666666668</v>
      </c>
      <c r="N10" s="93">
        <f t="shared" si="0"/>
        <v>0.90666666666666673</v>
      </c>
      <c r="O10" s="94">
        <f t="shared" si="1"/>
        <v>2.3333333333333335</v>
      </c>
      <c r="Q10" s="176"/>
      <c r="R10" s="176"/>
      <c r="S10" s="176"/>
      <c r="T10" s="176"/>
    </row>
    <row r="11" spans="1:20" x14ac:dyDescent="0.5">
      <c r="A11" s="65">
        <f t="shared" si="2"/>
        <v>29</v>
      </c>
      <c r="B11" s="64">
        <v>5</v>
      </c>
      <c r="C11" s="117">
        <v>31</v>
      </c>
      <c r="D11" s="114">
        <v>32</v>
      </c>
      <c r="E11" s="115">
        <v>35</v>
      </c>
      <c r="F11" s="111">
        <v>30</v>
      </c>
      <c r="G11" s="112">
        <v>32</v>
      </c>
      <c r="H11" s="113">
        <v>26</v>
      </c>
      <c r="I11" s="114">
        <v>26</v>
      </c>
      <c r="J11" s="115">
        <v>25</v>
      </c>
      <c r="K11" s="111">
        <v>23</v>
      </c>
      <c r="L11" s="97">
        <f t="shared" si="3"/>
        <v>25.76</v>
      </c>
      <c r="M11" s="98">
        <f t="shared" si="4"/>
        <v>25.300622222222223</v>
      </c>
      <c r="N11" s="93">
        <f t="shared" si="0"/>
        <v>0.92</v>
      </c>
      <c r="O11" s="94">
        <f t="shared" si="1"/>
        <v>4</v>
      </c>
      <c r="Q11" s="176"/>
      <c r="R11" s="176"/>
      <c r="S11" s="176"/>
      <c r="T11" s="176"/>
    </row>
    <row r="12" spans="1:20" x14ac:dyDescent="0.5">
      <c r="A12" s="65">
        <f t="shared" si="2"/>
        <v>35</v>
      </c>
      <c r="B12" s="64">
        <v>6</v>
      </c>
      <c r="C12" s="118">
        <v>39</v>
      </c>
      <c r="D12" s="113">
        <v>39</v>
      </c>
      <c r="E12" s="114">
        <v>37</v>
      </c>
      <c r="F12" s="115">
        <v>39</v>
      </c>
      <c r="G12" s="111">
        <v>36</v>
      </c>
      <c r="H12" s="112">
        <v>37</v>
      </c>
      <c r="I12" s="113">
        <v>29</v>
      </c>
      <c r="J12" s="114">
        <v>30</v>
      </c>
      <c r="K12" s="115">
        <v>31</v>
      </c>
      <c r="L12" s="99">
        <f t="shared" si="3"/>
        <v>28.493333333333332</v>
      </c>
      <c r="M12" s="100">
        <f t="shared" si="4"/>
        <v>31.032533333333333</v>
      </c>
      <c r="N12" s="93">
        <f t="shared" si="0"/>
        <v>0.93666666666666676</v>
      </c>
      <c r="O12" s="94">
        <f t="shared" si="1"/>
        <v>7.333333333333333</v>
      </c>
      <c r="Q12" s="176"/>
      <c r="R12" s="176"/>
      <c r="S12" s="176"/>
      <c r="T12" s="176"/>
    </row>
    <row r="13" spans="1:20" x14ac:dyDescent="0.5">
      <c r="A13" s="65">
        <f t="shared" si="2"/>
        <v>37</v>
      </c>
      <c r="B13" s="64">
        <v>7</v>
      </c>
      <c r="C13" s="119">
        <v>33</v>
      </c>
      <c r="D13" s="112">
        <v>42</v>
      </c>
      <c r="E13" s="113">
        <v>40</v>
      </c>
      <c r="F13" s="114">
        <v>41</v>
      </c>
      <c r="G13" s="115">
        <v>42</v>
      </c>
      <c r="H13" s="111">
        <v>37</v>
      </c>
      <c r="I13" s="112">
        <v>37</v>
      </c>
      <c r="J13" s="113">
        <v>33</v>
      </c>
      <c r="K13" s="114">
        <v>32</v>
      </c>
      <c r="L13" s="101">
        <f t="shared" si="3"/>
        <v>35.036666666666669</v>
      </c>
      <c r="M13" s="102">
        <f t="shared" si="4"/>
        <v>32.688755555555559</v>
      </c>
      <c r="N13" s="93">
        <f t="shared" si="0"/>
        <v>0.91333333333333333</v>
      </c>
      <c r="O13" s="94">
        <f t="shared" si="1"/>
        <v>6</v>
      </c>
      <c r="Q13" s="5"/>
      <c r="R13" s="5"/>
      <c r="S13" s="5"/>
      <c r="T13" s="5"/>
    </row>
    <row r="14" spans="1:20" x14ac:dyDescent="0.5">
      <c r="A14" s="65">
        <f t="shared" si="2"/>
        <v>38</v>
      </c>
      <c r="B14" s="64">
        <v>8</v>
      </c>
      <c r="C14" s="110">
        <v>33</v>
      </c>
      <c r="D14" s="111">
        <v>37</v>
      </c>
      <c r="E14" s="112">
        <v>42</v>
      </c>
      <c r="F14" s="113">
        <v>40</v>
      </c>
      <c r="G14" s="114">
        <v>42</v>
      </c>
      <c r="H14" s="115">
        <v>42</v>
      </c>
      <c r="I14" s="111">
        <v>39</v>
      </c>
      <c r="J14" s="112">
        <v>36</v>
      </c>
      <c r="K14" s="113">
        <v>34</v>
      </c>
      <c r="L14" s="91">
        <f t="shared" si="3"/>
        <v>34.226666666666667</v>
      </c>
      <c r="M14" s="92">
        <f t="shared" si="4"/>
        <v>37.000155555555558</v>
      </c>
      <c r="N14" s="93">
        <f t="shared" si="0"/>
        <v>0.83666666666666667</v>
      </c>
      <c r="O14" s="94">
        <f t="shared" si="1"/>
        <v>5</v>
      </c>
      <c r="Q14" s="5"/>
      <c r="R14" s="5"/>
      <c r="S14" s="5"/>
      <c r="T14" s="5"/>
    </row>
    <row r="15" spans="1:20" x14ac:dyDescent="0.5">
      <c r="A15" s="65">
        <f t="shared" si="2"/>
        <v>39</v>
      </c>
      <c r="B15" s="64">
        <v>9</v>
      </c>
      <c r="C15" s="116">
        <v>36</v>
      </c>
      <c r="D15" s="115">
        <v>29</v>
      </c>
      <c r="E15" s="111">
        <v>39</v>
      </c>
      <c r="F15" s="112">
        <v>41</v>
      </c>
      <c r="G15" s="113">
        <v>40</v>
      </c>
      <c r="H15" s="114">
        <v>42</v>
      </c>
      <c r="I15" s="115">
        <v>40</v>
      </c>
      <c r="J15" s="111">
        <v>40</v>
      </c>
      <c r="K15" s="112">
        <v>41</v>
      </c>
      <c r="L15" s="95">
        <f t="shared" si="3"/>
        <v>38.446666666666665</v>
      </c>
      <c r="M15" s="96">
        <f t="shared" si="4"/>
        <v>38.636311111111112</v>
      </c>
      <c r="N15" s="93">
        <f t="shared" si="0"/>
        <v>0.94666666666666677</v>
      </c>
      <c r="O15" s="94">
        <f t="shared" si="1"/>
        <v>10</v>
      </c>
    </row>
    <row r="16" spans="1:20" x14ac:dyDescent="0.5">
      <c r="A16" s="65">
        <f t="shared" si="2"/>
        <v>39</v>
      </c>
      <c r="B16" s="64">
        <v>10</v>
      </c>
      <c r="C16" s="117">
        <v>36</v>
      </c>
      <c r="D16" s="114">
        <v>36</v>
      </c>
      <c r="E16" s="115">
        <v>30</v>
      </c>
      <c r="F16" s="111">
        <v>38</v>
      </c>
      <c r="G16" s="112">
        <v>45</v>
      </c>
      <c r="H16" s="113">
        <v>41</v>
      </c>
      <c r="I16" s="114">
        <v>43</v>
      </c>
      <c r="J16" s="115">
        <v>41</v>
      </c>
      <c r="K16" s="111">
        <v>41</v>
      </c>
      <c r="L16" s="97">
        <f t="shared" si="3"/>
        <v>42.146666666666675</v>
      </c>
      <c r="M16" s="98">
        <f t="shared" si="4"/>
        <v>39.729511111111115</v>
      </c>
      <c r="N16" s="93">
        <f t="shared" si="0"/>
        <v>0.95333333333333325</v>
      </c>
      <c r="O16" s="94">
        <f t="shared" si="1"/>
        <v>3.3333333333333335</v>
      </c>
    </row>
    <row r="17" spans="1:18" x14ac:dyDescent="0.5">
      <c r="A17" s="65">
        <f t="shared" si="2"/>
        <v>37</v>
      </c>
      <c r="B17" s="64">
        <v>11</v>
      </c>
      <c r="C17" s="118">
        <v>30</v>
      </c>
      <c r="D17" s="113">
        <v>36</v>
      </c>
      <c r="E17" s="114">
        <v>37</v>
      </c>
      <c r="F17" s="115">
        <v>30</v>
      </c>
      <c r="G17" s="111">
        <v>36</v>
      </c>
      <c r="H17" s="112">
        <v>43</v>
      </c>
      <c r="I17" s="113">
        <v>40</v>
      </c>
      <c r="J17" s="114">
        <v>43</v>
      </c>
      <c r="K17" s="115">
        <v>42</v>
      </c>
      <c r="L17" s="99">
        <f t="shared" si="3"/>
        <v>40.75333333333333</v>
      </c>
      <c r="M17" s="100">
        <f t="shared" si="4"/>
        <v>41.846488888888892</v>
      </c>
      <c r="N17" s="93">
        <f t="shared" si="0"/>
        <v>0.96666666666666667</v>
      </c>
      <c r="O17" s="94">
        <f t="shared" si="1"/>
        <v>1.6666666666666667</v>
      </c>
    </row>
    <row r="18" spans="1:18" ht="16.149999999999999" thickBot="1" x14ac:dyDescent="0.55000000000000004">
      <c r="A18" s="65">
        <f t="shared" si="2"/>
        <v>36</v>
      </c>
      <c r="B18" s="64">
        <v>12</v>
      </c>
      <c r="C18" s="120">
        <v>24</v>
      </c>
      <c r="D18" s="121">
        <v>31</v>
      </c>
      <c r="E18" s="122">
        <v>36</v>
      </c>
      <c r="F18" s="123">
        <v>40</v>
      </c>
      <c r="G18" s="124">
        <v>29</v>
      </c>
      <c r="H18" s="125">
        <v>37</v>
      </c>
      <c r="I18" s="121">
        <v>44</v>
      </c>
      <c r="J18" s="122">
        <v>41</v>
      </c>
      <c r="K18" s="123">
        <v>44</v>
      </c>
      <c r="L18" s="103">
        <f t="shared" si="3"/>
        <v>43.266666666666666</v>
      </c>
      <c r="M18" s="104">
        <f t="shared" si="4"/>
        <v>42.06155555555555</v>
      </c>
      <c r="N18" s="93" t="s">
        <v>135</v>
      </c>
      <c r="O18" s="94">
        <f t="shared" si="1"/>
        <v>2.6666666666666665</v>
      </c>
    </row>
    <row r="19" spans="1:18" x14ac:dyDescent="0.5">
      <c r="B19" s="66"/>
      <c r="C19" s="2"/>
      <c r="D19" s="2"/>
      <c r="E19" s="2"/>
      <c r="F19" s="2"/>
      <c r="G19" s="2"/>
      <c r="K19" s="67"/>
      <c r="L19" s="105"/>
      <c r="M19" s="106"/>
      <c r="N19" s="93"/>
      <c r="O19" s="107"/>
    </row>
    <row r="20" spans="1:18" ht="16.149999999999999" thickBot="1" x14ac:dyDescent="0.55000000000000004">
      <c r="A20">
        <f>SUM(A4:A19)</f>
        <v>435</v>
      </c>
      <c r="B20" s="66" t="s">
        <v>136</v>
      </c>
      <c r="C20" s="11">
        <f t="shared" ref="C20:K20" si="5">SUM(C4:C19)</f>
        <v>422</v>
      </c>
      <c r="D20" s="11">
        <f t="shared" si="5"/>
        <v>445</v>
      </c>
      <c r="E20" s="11">
        <f t="shared" si="5"/>
        <v>446</v>
      </c>
      <c r="F20" s="11">
        <f t="shared" si="5"/>
        <v>444</v>
      </c>
      <c r="G20" s="11">
        <f t="shared" si="5"/>
        <v>439</v>
      </c>
      <c r="H20" s="45">
        <f t="shared" si="5"/>
        <v>443</v>
      </c>
      <c r="I20" s="45">
        <f t="shared" si="5"/>
        <v>440</v>
      </c>
      <c r="J20" s="45">
        <f t="shared" si="5"/>
        <v>423</v>
      </c>
      <c r="K20" s="45">
        <f t="shared" si="5"/>
        <v>427</v>
      </c>
      <c r="L20" s="108">
        <f>ROUND(SUM(L4:L19),0)</f>
        <v>430</v>
      </c>
      <c r="M20" s="109">
        <f>ROUND(SUM(M4:M19),0)</f>
        <v>432</v>
      </c>
      <c r="N20" s="93"/>
      <c r="O20" s="107"/>
    </row>
    <row r="22" spans="1:18" x14ac:dyDescent="0.5">
      <c r="M22" s="56"/>
      <c r="N22" s="45"/>
      <c r="O22"/>
    </row>
    <row r="23" spans="1:18" s="66" customFormat="1" ht="14.25" x14ac:dyDescent="0.45">
      <c r="C23" s="69" t="s">
        <v>137</v>
      </c>
      <c r="G23" s="69" t="s">
        <v>138</v>
      </c>
      <c r="K23" s="69"/>
      <c r="N23" s="90"/>
    </row>
    <row r="24" spans="1:18" s="64" customFormat="1" ht="14.25" x14ac:dyDescent="0.45">
      <c r="B24" s="64" t="s">
        <v>121</v>
      </c>
      <c r="C24" s="64" t="s">
        <v>128</v>
      </c>
      <c r="D24" s="64" t="s">
        <v>129</v>
      </c>
      <c r="E24" s="64" t="s">
        <v>130</v>
      </c>
      <c r="F24" s="71" t="s">
        <v>119</v>
      </c>
      <c r="G24" s="64" t="s">
        <v>128</v>
      </c>
      <c r="H24" s="64" t="s">
        <v>129</v>
      </c>
      <c r="I24" s="64" t="s">
        <v>130</v>
      </c>
      <c r="J24" s="68" t="s">
        <v>119</v>
      </c>
      <c r="N24" s="70"/>
    </row>
    <row r="25" spans="1:18" x14ac:dyDescent="0.5">
      <c r="B25" t="s">
        <v>133</v>
      </c>
      <c r="C25" s="127">
        <v>83</v>
      </c>
      <c r="D25" s="127">
        <v>95</v>
      </c>
      <c r="E25" s="127">
        <v>78</v>
      </c>
      <c r="F25" s="73">
        <f t="shared" ref="F25:F38" si="6">AVERAGE(C25:E25)</f>
        <v>85.333333333333329</v>
      </c>
      <c r="G25" s="126">
        <v>12</v>
      </c>
      <c r="H25" s="126">
        <v>12</v>
      </c>
      <c r="I25" s="126">
        <v>14</v>
      </c>
      <c r="J25" s="74">
        <f>AVERAGE(G25:I25)</f>
        <v>12.666666666666666</v>
      </c>
      <c r="K25" s="87"/>
      <c r="L25" s="87"/>
      <c r="M25" s="87"/>
      <c r="N25" s="72"/>
      <c r="O25" s="87"/>
      <c r="P25" s="87"/>
    </row>
    <row r="26" spans="1:18" x14ac:dyDescent="0.5">
      <c r="B26" t="s">
        <v>134</v>
      </c>
      <c r="C26" s="127">
        <v>96</v>
      </c>
      <c r="D26" s="127">
        <v>71</v>
      </c>
      <c r="E26" s="127">
        <v>76</v>
      </c>
      <c r="F26" s="73">
        <f t="shared" si="6"/>
        <v>81</v>
      </c>
      <c r="G26" s="126">
        <v>13</v>
      </c>
      <c r="H26" s="126">
        <v>12</v>
      </c>
      <c r="I26" s="126">
        <v>11</v>
      </c>
      <c r="J26" s="74">
        <f t="shared" ref="J26:J39" si="7">AVERAGE(G26:I26)</f>
        <v>12</v>
      </c>
      <c r="N26" s="72"/>
      <c r="O26" s="87"/>
      <c r="P26" s="87"/>
      <c r="Q26" s="87"/>
      <c r="R26" s="87"/>
    </row>
    <row r="27" spans="1:18" x14ac:dyDescent="0.5">
      <c r="B27" t="s">
        <v>111</v>
      </c>
      <c r="C27" s="127">
        <v>84</v>
      </c>
      <c r="D27" s="127">
        <v>89</v>
      </c>
      <c r="E27" s="127">
        <v>81</v>
      </c>
      <c r="F27" s="73">
        <f t="shared" si="6"/>
        <v>84.666666666666671</v>
      </c>
      <c r="G27" s="126">
        <v>0</v>
      </c>
      <c r="H27" s="126">
        <v>0</v>
      </c>
      <c r="I27" s="126">
        <v>0</v>
      </c>
      <c r="J27" s="74">
        <f t="shared" si="7"/>
        <v>0</v>
      </c>
      <c r="N27" s="72"/>
      <c r="O27" s="87"/>
      <c r="P27" s="87"/>
      <c r="Q27" s="87"/>
      <c r="R27" s="87"/>
    </row>
    <row r="28" spans="1:18" x14ac:dyDescent="0.5">
      <c r="B28" t="s">
        <v>139</v>
      </c>
      <c r="C28" s="127">
        <v>91</v>
      </c>
      <c r="D28" s="127">
        <v>89</v>
      </c>
      <c r="E28" s="127">
        <v>91</v>
      </c>
      <c r="F28" s="73">
        <f t="shared" si="6"/>
        <v>90.333333333333329</v>
      </c>
      <c r="G28" s="126">
        <v>9</v>
      </c>
      <c r="H28" s="126">
        <v>5</v>
      </c>
      <c r="I28" s="126">
        <v>3</v>
      </c>
      <c r="J28" s="74">
        <f t="shared" si="7"/>
        <v>5.666666666666667</v>
      </c>
      <c r="N28" s="72"/>
      <c r="O28" s="87"/>
      <c r="P28" s="87"/>
      <c r="Q28" s="87"/>
      <c r="R28" s="87"/>
    </row>
    <row r="29" spans="1:18" x14ac:dyDescent="0.5">
      <c r="B29" t="s">
        <v>140</v>
      </c>
      <c r="C29" s="127">
        <v>96</v>
      </c>
      <c r="D29" s="127">
        <v>93</v>
      </c>
      <c r="E29" s="127">
        <v>82</v>
      </c>
      <c r="F29" s="73">
        <f t="shared" si="6"/>
        <v>90.333333333333329</v>
      </c>
      <c r="G29" s="126">
        <v>0</v>
      </c>
      <c r="H29" s="126">
        <v>7</v>
      </c>
      <c r="I29" s="126">
        <v>7</v>
      </c>
      <c r="J29" s="74">
        <f t="shared" si="7"/>
        <v>4.666666666666667</v>
      </c>
      <c r="N29" s="72"/>
      <c r="O29" s="87"/>
      <c r="P29" s="87"/>
      <c r="Q29" s="87"/>
      <c r="R29" s="87"/>
    </row>
    <row r="30" spans="1:18" x14ac:dyDescent="0.5">
      <c r="B30" t="s">
        <v>141</v>
      </c>
      <c r="C30" s="127">
        <v>95</v>
      </c>
      <c r="D30" s="127">
        <v>88</v>
      </c>
      <c r="E30" s="127">
        <v>93</v>
      </c>
      <c r="F30" s="73">
        <f t="shared" si="6"/>
        <v>92</v>
      </c>
      <c r="G30" s="126">
        <v>4</v>
      </c>
      <c r="H30" s="126">
        <v>1</v>
      </c>
      <c r="I30" s="126">
        <v>5</v>
      </c>
      <c r="J30" s="74">
        <f t="shared" si="7"/>
        <v>3.3333333333333335</v>
      </c>
      <c r="N30" s="72"/>
      <c r="O30" s="87"/>
      <c r="P30" s="87"/>
      <c r="Q30" s="87"/>
      <c r="R30" s="87"/>
    </row>
    <row r="31" spans="1:18" x14ac:dyDescent="0.5">
      <c r="B31" t="s">
        <v>142</v>
      </c>
      <c r="C31" s="127">
        <v>91</v>
      </c>
      <c r="D31" s="127">
        <v>92</v>
      </c>
      <c r="E31" s="127">
        <v>89</v>
      </c>
      <c r="F31" s="73">
        <f t="shared" si="6"/>
        <v>90.666666666666671</v>
      </c>
      <c r="G31" s="126">
        <v>2</v>
      </c>
      <c r="H31" s="126">
        <v>2</v>
      </c>
      <c r="I31" s="126">
        <v>3</v>
      </c>
      <c r="J31" s="74">
        <f t="shared" si="7"/>
        <v>2.3333333333333335</v>
      </c>
      <c r="N31" s="72"/>
      <c r="O31" s="87"/>
      <c r="P31" s="87"/>
      <c r="Q31" s="87"/>
      <c r="R31" s="87"/>
    </row>
    <row r="32" spans="1:18" x14ac:dyDescent="0.5">
      <c r="B32" t="s">
        <v>143</v>
      </c>
      <c r="C32" s="127">
        <v>88</v>
      </c>
      <c r="D32" s="127">
        <v>93</v>
      </c>
      <c r="E32" s="127">
        <v>95</v>
      </c>
      <c r="F32" s="73">
        <f t="shared" si="6"/>
        <v>92</v>
      </c>
      <c r="G32" s="126">
        <v>4</v>
      </c>
      <c r="H32" s="126">
        <v>6</v>
      </c>
      <c r="I32" s="126">
        <v>2</v>
      </c>
      <c r="J32" s="74">
        <f t="shared" si="7"/>
        <v>4</v>
      </c>
      <c r="N32" s="72"/>
      <c r="O32" s="87"/>
      <c r="P32" s="87"/>
      <c r="Q32" s="87"/>
      <c r="R32" s="87"/>
    </row>
    <row r="33" spans="2:18" x14ac:dyDescent="0.5">
      <c r="B33" t="s">
        <v>144</v>
      </c>
      <c r="C33" s="127">
        <v>93</v>
      </c>
      <c r="D33" s="127">
        <v>95</v>
      </c>
      <c r="E33" s="127">
        <v>93</v>
      </c>
      <c r="F33" s="73">
        <f t="shared" si="6"/>
        <v>93.666666666666671</v>
      </c>
      <c r="G33" s="126">
        <v>6</v>
      </c>
      <c r="H33" s="126">
        <v>7</v>
      </c>
      <c r="I33" s="126">
        <v>9</v>
      </c>
      <c r="J33" s="74">
        <f t="shared" si="7"/>
        <v>7.333333333333333</v>
      </c>
      <c r="N33" s="72"/>
      <c r="O33" s="87"/>
      <c r="P33" s="87"/>
      <c r="Q33" s="87"/>
      <c r="R33" s="87"/>
    </row>
    <row r="34" spans="2:18" x14ac:dyDescent="0.5">
      <c r="B34" t="s">
        <v>145</v>
      </c>
      <c r="C34" s="127">
        <v>94</v>
      </c>
      <c r="D34" s="127">
        <v>84</v>
      </c>
      <c r="E34" s="127">
        <v>96</v>
      </c>
      <c r="F34" s="73">
        <f t="shared" si="6"/>
        <v>91.333333333333329</v>
      </c>
      <c r="G34" s="126">
        <v>10</v>
      </c>
      <c r="H34" s="126">
        <v>5</v>
      </c>
      <c r="I34" s="126">
        <v>3</v>
      </c>
      <c r="J34" s="74">
        <f t="shared" si="7"/>
        <v>6</v>
      </c>
      <c r="N34" s="72"/>
      <c r="O34" s="87"/>
      <c r="P34" s="87"/>
      <c r="Q34" s="87"/>
      <c r="R34" s="87"/>
    </row>
    <row r="35" spans="2:18" x14ac:dyDescent="0.5">
      <c r="B35" t="s">
        <v>146</v>
      </c>
      <c r="C35" s="127">
        <v>80</v>
      </c>
      <c r="D35" s="127">
        <v>83</v>
      </c>
      <c r="E35" s="127">
        <v>88</v>
      </c>
      <c r="F35" s="73">
        <f t="shared" si="6"/>
        <v>83.666666666666671</v>
      </c>
      <c r="G35" s="126">
        <v>4</v>
      </c>
      <c r="H35" s="126">
        <v>8</v>
      </c>
      <c r="I35" s="126">
        <v>3</v>
      </c>
      <c r="J35" s="74">
        <f t="shared" si="7"/>
        <v>5</v>
      </c>
      <c r="N35" s="72"/>
      <c r="O35" s="87"/>
      <c r="P35" s="87"/>
      <c r="Q35" s="87"/>
      <c r="R35" s="87"/>
    </row>
    <row r="36" spans="2:18" x14ac:dyDescent="0.5">
      <c r="B36" t="s">
        <v>147</v>
      </c>
      <c r="C36" s="127">
        <v>94</v>
      </c>
      <c r="D36" s="127">
        <v>98</v>
      </c>
      <c r="E36" s="127">
        <v>92</v>
      </c>
      <c r="F36" s="73">
        <f t="shared" si="6"/>
        <v>94.666666666666671</v>
      </c>
      <c r="G36" s="126">
        <v>9</v>
      </c>
      <c r="H36" s="126">
        <v>10</v>
      </c>
      <c r="I36" s="126">
        <v>11</v>
      </c>
      <c r="J36" s="74">
        <f t="shared" si="7"/>
        <v>10</v>
      </c>
      <c r="N36" s="72"/>
      <c r="O36" s="87"/>
      <c r="P36" s="87"/>
      <c r="Q36" s="87"/>
      <c r="R36" s="87"/>
    </row>
    <row r="37" spans="2:18" x14ac:dyDescent="0.5">
      <c r="B37" t="s">
        <v>148</v>
      </c>
      <c r="C37" s="127">
        <v>92</v>
      </c>
      <c r="D37" s="127">
        <v>95</v>
      </c>
      <c r="E37" s="127">
        <v>99</v>
      </c>
      <c r="F37" s="73">
        <f t="shared" si="6"/>
        <v>95.333333333333329</v>
      </c>
      <c r="G37" s="126">
        <v>5</v>
      </c>
      <c r="H37" s="126">
        <v>2</v>
      </c>
      <c r="I37" s="126">
        <v>3</v>
      </c>
      <c r="J37" s="74">
        <f t="shared" si="7"/>
        <v>3.3333333333333335</v>
      </c>
      <c r="N37" s="72"/>
      <c r="O37" s="87"/>
      <c r="P37" s="87"/>
      <c r="Q37" s="87"/>
      <c r="R37" s="87"/>
    </row>
    <row r="38" spans="2:18" x14ac:dyDescent="0.5">
      <c r="B38" t="s">
        <v>149</v>
      </c>
      <c r="C38" s="127">
        <v>97</v>
      </c>
      <c r="D38" s="127">
        <v>96</v>
      </c>
      <c r="E38" s="127">
        <v>97</v>
      </c>
      <c r="F38" s="73">
        <f t="shared" si="6"/>
        <v>96.666666666666671</v>
      </c>
      <c r="G38" s="126">
        <v>0</v>
      </c>
      <c r="H38" s="126">
        <v>4</v>
      </c>
      <c r="I38" s="126">
        <v>1</v>
      </c>
      <c r="J38" s="74">
        <f t="shared" si="7"/>
        <v>1.6666666666666667</v>
      </c>
      <c r="N38" s="72"/>
      <c r="O38" s="87"/>
      <c r="P38" s="87"/>
      <c r="Q38" s="87"/>
      <c r="R38" s="87"/>
    </row>
    <row r="39" spans="2:18" x14ac:dyDescent="0.5">
      <c r="B39" t="s">
        <v>150</v>
      </c>
      <c r="F39" s="75"/>
      <c r="G39" s="126">
        <v>5</v>
      </c>
      <c r="H39" s="126">
        <v>0</v>
      </c>
      <c r="I39" s="126">
        <v>3</v>
      </c>
      <c r="J39" s="74">
        <f t="shared" si="7"/>
        <v>2.6666666666666665</v>
      </c>
      <c r="N39" s="72"/>
      <c r="O39" s="87"/>
      <c r="P39" s="87"/>
      <c r="Q39" s="87"/>
      <c r="R39" s="87"/>
    </row>
    <row r="40" spans="2:18" x14ac:dyDescent="0.5">
      <c r="F40" s="75"/>
      <c r="N40" s="67"/>
      <c r="O40"/>
    </row>
    <row r="41" spans="2:18" x14ac:dyDescent="0.5">
      <c r="B41" t="s">
        <v>151</v>
      </c>
      <c r="F41" s="75"/>
      <c r="G41">
        <f>SUM(G25:G39)</f>
        <v>83</v>
      </c>
      <c r="H41">
        <f>SUM(H25:H39)</f>
        <v>81</v>
      </c>
      <c r="I41">
        <f>SUM(I25:I39)</f>
        <v>78</v>
      </c>
      <c r="J41" s="87">
        <f>SUM(J25:J39)</f>
        <v>80.666666666666671</v>
      </c>
      <c r="N41"/>
      <c r="O41"/>
    </row>
    <row r="42" spans="2:18" x14ac:dyDescent="0.5">
      <c r="N42"/>
      <c r="O42"/>
    </row>
    <row r="43" spans="2:18" x14ac:dyDescent="0.5">
      <c r="L43" s="45"/>
      <c r="N43"/>
      <c r="O43"/>
    </row>
    <row r="44" spans="2:18" x14ac:dyDescent="0.5">
      <c r="M44" s="45"/>
      <c r="N44"/>
      <c r="O44"/>
    </row>
    <row r="45" spans="2:18" x14ac:dyDescent="0.5">
      <c r="M45" s="45"/>
      <c r="N45"/>
      <c r="O45"/>
    </row>
    <row r="46" spans="2:18" x14ac:dyDescent="0.5">
      <c r="M46" s="56"/>
      <c r="N46" s="45"/>
      <c r="O46"/>
    </row>
  </sheetData>
  <sheetProtection sheet="1" objects="1" scenarios="1"/>
  <mergeCells count="2">
    <mergeCell ref="L2:M2"/>
    <mergeCell ref="Q3:T12"/>
  </mergeCells>
  <pageMargins left="0.7" right="0.7" top="0.75" bottom="0.75" header="0.3" footer="0.3"/>
  <ignoredErrors>
    <ignoredError sqref="A4:A1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6"/>
  <sheetViews>
    <sheetView workbookViewId="0">
      <pane xSplit="1" ySplit="1" topLeftCell="B2" activePane="bottomRight" state="frozen"/>
      <selection pane="topRight" activeCell="B1" sqref="B1"/>
      <selection pane="bottomLeft" activeCell="A2" sqref="A2"/>
      <selection pane="bottomRight" activeCell="B58" sqref="B58"/>
    </sheetView>
  </sheetViews>
  <sheetFormatPr defaultColWidth="58.6875" defaultRowHeight="15.75" x14ac:dyDescent="0.5"/>
  <cols>
    <col min="1" max="1" width="53.6875" style="162" customWidth="1"/>
    <col min="2" max="2" width="16.0625" style="6" customWidth="1"/>
    <col min="3" max="3" width="16.0625" style="145" customWidth="1"/>
    <col min="4" max="10" width="16.0625" style="6" customWidth="1"/>
    <col min="11" max="83" width="13.3125" style="6" customWidth="1"/>
    <col min="84" max="16384" width="58.6875" style="6"/>
  </cols>
  <sheetData>
    <row r="1" spans="1:11" s="151" customFormat="1" ht="31.5" x14ac:dyDescent="0.5">
      <c r="A1" s="150" t="s">
        <v>33</v>
      </c>
      <c r="B1" s="143" t="s">
        <v>98</v>
      </c>
      <c r="C1" s="143" t="s">
        <v>9</v>
      </c>
      <c r="D1" s="143" t="s">
        <v>99</v>
      </c>
      <c r="E1" s="143" t="s">
        <v>100</v>
      </c>
      <c r="F1" s="143" t="s">
        <v>101</v>
      </c>
      <c r="G1" s="143" t="s">
        <v>102</v>
      </c>
      <c r="H1" s="143" t="s">
        <v>103</v>
      </c>
      <c r="I1" s="143" t="s">
        <v>104</v>
      </c>
      <c r="J1" s="143" t="s">
        <v>167</v>
      </c>
    </row>
    <row r="2" spans="1:11" x14ac:dyDescent="0.5">
      <c r="A2" s="152" t="s">
        <v>2</v>
      </c>
      <c r="B2" s="148" t="s">
        <v>38</v>
      </c>
      <c r="C2" s="148" t="s">
        <v>38</v>
      </c>
      <c r="D2" s="148" t="s">
        <v>38</v>
      </c>
      <c r="E2" s="148" t="s">
        <v>38</v>
      </c>
      <c r="F2" s="148" t="s">
        <v>38</v>
      </c>
      <c r="G2" s="148" t="s">
        <v>38</v>
      </c>
      <c r="H2" s="148" t="s">
        <v>38</v>
      </c>
      <c r="I2" s="145"/>
      <c r="J2" s="145"/>
    </row>
    <row r="3" spans="1:11" x14ac:dyDescent="0.5">
      <c r="A3" s="76" t="s">
        <v>18</v>
      </c>
      <c r="B3" s="144">
        <f>SUM(B5/$B$69)</f>
        <v>0.78962312639450871</v>
      </c>
      <c r="C3" s="144">
        <f>SUM(C5/$C$69)</f>
        <v>0.69327137473183342</v>
      </c>
      <c r="D3" s="144">
        <f>SUM(D5/$D$69)</f>
        <v>0.92271609754611228</v>
      </c>
      <c r="E3" s="144">
        <f>SUM(E5/$E$69)</f>
        <v>0.97460999228230394</v>
      </c>
      <c r="F3" s="144">
        <f>SUM(F5/$F$69)</f>
        <v>1.0020221732735497</v>
      </c>
      <c r="G3" s="144">
        <f>SUM(G5/$G$69)</f>
        <v>0.97343053928018874</v>
      </c>
      <c r="H3" s="144">
        <f>SUM(H5/$H$69)</f>
        <v>0.95487757553420172</v>
      </c>
      <c r="I3" s="144">
        <f>SUM(I5/$I$69)</f>
        <v>0.94655969434570419</v>
      </c>
      <c r="J3" s="144">
        <f>SUM(J5/$J$69)</f>
        <v>0.82977269660412101</v>
      </c>
    </row>
    <row r="4" spans="1:11" x14ac:dyDescent="0.5">
      <c r="A4" s="76" t="s">
        <v>16</v>
      </c>
      <c r="B4" s="149">
        <v>1777178</v>
      </c>
      <c r="C4" s="149">
        <v>2740581</v>
      </c>
      <c r="D4" s="149">
        <v>5323696</v>
      </c>
      <c r="E4" s="149">
        <v>8377850</v>
      </c>
      <c r="F4" s="149">
        <v>13730024</v>
      </c>
      <c r="G4" s="149">
        <v>19304487</v>
      </c>
      <c r="H4" s="149">
        <v>38598235</v>
      </c>
      <c r="I4" s="149">
        <v>15501784</v>
      </c>
      <c r="J4" s="149">
        <v>12926205</v>
      </c>
    </row>
    <row r="5" spans="1:11" x14ac:dyDescent="0.5">
      <c r="A5" s="76" t="s">
        <v>15</v>
      </c>
      <c r="B5" s="149">
        <v>1324288</v>
      </c>
      <c r="C5" s="149">
        <v>2004520</v>
      </c>
      <c r="D5" s="149">
        <v>3391682</v>
      </c>
      <c r="E5" s="149">
        <v>5868348</v>
      </c>
      <c r="F5" s="149">
        <v>9419787</v>
      </c>
      <c r="G5" s="149">
        <v>16018295</v>
      </c>
      <c r="H5" s="149">
        <v>28654057</v>
      </c>
      <c r="I5" s="149">
        <v>7176720</v>
      </c>
      <c r="J5" s="149">
        <v>9801685</v>
      </c>
    </row>
    <row r="6" spans="1:11" x14ac:dyDescent="0.5">
      <c r="A6" s="76" t="s">
        <v>14</v>
      </c>
      <c r="B6" s="149">
        <v>673104</v>
      </c>
      <c r="C6" s="149">
        <v>1436160</v>
      </c>
      <c r="D6" s="149">
        <v>2181014</v>
      </c>
      <c r="E6" s="149">
        <v>4043513</v>
      </c>
      <c r="F6" s="149">
        <v>7297087</v>
      </c>
      <c r="G6" s="149">
        <v>12839693</v>
      </c>
      <c r="H6" s="149">
        <v>21248946</v>
      </c>
      <c r="I6" s="149">
        <v>2779778</v>
      </c>
      <c r="J6" s="149">
        <v>5573185</v>
      </c>
    </row>
    <row r="7" spans="1:11" x14ac:dyDescent="0.5">
      <c r="A7" s="76" t="s">
        <v>17</v>
      </c>
      <c r="B7" s="144">
        <f>SUM(B9/$B$69)</f>
        <v>-8.7488387789977307E-2</v>
      </c>
      <c r="C7" s="144">
        <f>SUM(C9/$C$69)</f>
        <v>-7.4331991534876102E-2</v>
      </c>
      <c r="D7" s="144">
        <f>SUM(D9/$D$69)</f>
        <v>-8.0462293637858201E-2</v>
      </c>
      <c r="E7" s="144">
        <f>SUM(E9/$E$69)</f>
        <v>-6.9942222739650908E-2</v>
      </c>
      <c r="F7" s="144">
        <f>SUM(F9/$F$69)</f>
        <v>-9.4543355299248136E-2</v>
      </c>
      <c r="G7" s="144">
        <f>SUM(G9/$G$69)</f>
        <v>-8.7306810138780874E-2</v>
      </c>
      <c r="H7" s="144">
        <f>SUM(H9/$H$69)</f>
        <v>-9.0217389674352874E-2</v>
      </c>
      <c r="I7" s="144">
        <f>SUM(I9/$I$69)</f>
        <v>-8.7298182157266938E-2</v>
      </c>
      <c r="J7" s="144">
        <f>SUM(J9/$J$69)</f>
        <v>-7.0610406235973533E-2</v>
      </c>
    </row>
    <row r="8" spans="1:11" x14ac:dyDescent="0.5">
      <c r="A8" s="76" t="s">
        <v>16</v>
      </c>
      <c r="B8" s="149">
        <v>-312295</v>
      </c>
      <c r="C8" s="149">
        <v>-389456</v>
      </c>
      <c r="D8" s="149">
        <v>-546472</v>
      </c>
      <c r="E8" s="149">
        <v>-1005053</v>
      </c>
      <c r="F8" s="149">
        <v>-1614411</v>
      </c>
      <c r="G8" s="149">
        <v>-2123010</v>
      </c>
      <c r="H8" s="149">
        <v>-3652816</v>
      </c>
      <c r="I8" s="149">
        <v>-1731157</v>
      </c>
      <c r="J8" s="149">
        <v>-1453000</v>
      </c>
      <c r="K8" s="153"/>
    </row>
    <row r="9" spans="1:11" x14ac:dyDescent="0.5">
      <c r="A9" s="76" t="s">
        <v>15</v>
      </c>
      <c r="B9" s="149">
        <v>-146728</v>
      </c>
      <c r="C9" s="149">
        <v>-214923</v>
      </c>
      <c r="D9" s="149">
        <v>-295760</v>
      </c>
      <c r="E9" s="149">
        <v>-421138</v>
      </c>
      <c r="F9" s="149">
        <v>-888781</v>
      </c>
      <c r="G9" s="149">
        <v>-1436678</v>
      </c>
      <c r="H9" s="149">
        <v>-2707252</v>
      </c>
      <c r="I9" s="149">
        <v>-661886</v>
      </c>
      <c r="J9" s="149">
        <v>-834085</v>
      </c>
      <c r="K9" s="153"/>
    </row>
    <row r="10" spans="1:11" x14ac:dyDescent="0.5">
      <c r="A10" s="76" t="s">
        <v>14</v>
      </c>
      <c r="B10" s="149">
        <v>-86849</v>
      </c>
      <c r="C10" s="149">
        <v>-83167</v>
      </c>
      <c r="D10" s="149">
        <v>-152485</v>
      </c>
      <c r="E10" s="149">
        <v>-162224</v>
      </c>
      <c r="F10" s="149">
        <v>-507323</v>
      </c>
      <c r="G10" s="149">
        <v>-987093</v>
      </c>
      <c r="H10" s="149">
        <v>-1701084</v>
      </c>
      <c r="I10" s="149">
        <v>-240009</v>
      </c>
      <c r="J10" s="149">
        <v>-546472</v>
      </c>
      <c r="K10" s="153"/>
    </row>
    <row r="11" spans="1:11" x14ac:dyDescent="0.5">
      <c r="A11" s="76" t="s">
        <v>19</v>
      </c>
      <c r="B11" s="144">
        <f>SUM(B13/$B$69)</f>
        <v>-3.2645365789087683E-3</v>
      </c>
      <c r="C11" s="144">
        <f>SUM(C13/$C$69)</f>
        <v>-7.1716297300297811E-3</v>
      </c>
      <c r="D11" s="144">
        <f>SUM(D13/$D$69)</f>
        <v>-3.1049097614941568E-2</v>
      </c>
      <c r="E11" s="144">
        <f>SUM(E13/$E$69)</f>
        <v>-1.7014804457629651E-2</v>
      </c>
      <c r="F11" s="144">
        <f>SUM(F13/$F$69)</f>
        <v>-1.2941377079788192E-2</v>
      </c>
      <c r="G11" s="144">
        <f>SUM(G13/$G$69)</f>
        <v>-6.867305046595642E-3</v>
      </c>
      <c r="H11" s="144">
        <f>SUM(H13/$H$69)</f>
        <v>-5.5167780560545412E-3</v>
      </c>
      <c r="I11" s="144">
        <f>SUM(I13/$I$69)</f>
        <v>-1.4132475254550345E-2</v>
      </c>
      <c r="J11" s="144">
        <f>SUM(J13/$J$69)</f>
        <v>-3.30836146879736E-3</v>
      </c>
      <c r="K11" s="153"/>
    </row>
    <row r="12" spans="1:11" x14ac:dyDescent="0.5">
      <c r="A12" s="76" t="s">
        <v>16</v>
      </c>
      <c r="B12" s="149">
        <v>-9950</v>
      </c>
      <c r="C12" s="149">
        <v>-51125</v>
      </c>
      <c r="D12" s="149">
        <v>-239450</v>
      </c>
      <c r="E12" s="149">
        <v>-158270</v>
      </c>
      <c r="F12" s="149">
        <v>-218250</v>
      </c>
      <c r="G12" s="149">
        <v>-216800</v>
      </c>
      <c r="H12" s="149">
        <v>-364820</v>
      </c>
      <c r="I12" s="149">
        <v>-242051</v>
      </c>
      <c r="J12" s="149">
        <v>-77410</v>
      </c>
      <c r="K12" s="153"/>
    </row>
    <row r="13" spans="1:11" x14ac:dyDescent="0.5">
      <c r="A13" s="76" t="s">
        <v>15</v>
      </c>
      <c r="B13" s="149">
        <v>-5475</v>
      </c>
      <c r="C13" s="149">
        <v>-20736</v>
      </c>
      <c r="D13" s="149">
        <v>-114129</v>
      </c>
      <c r="E13" s="149">
        <v>-102450</v>
      </c>
      <c r="F13" s="149">
        <v>-121659</v>
      </c>
      <c r="G13" s="149">
        <v>-113005</v>
      </c>
      <c r="H13" s="149">
        <v>-165548</v>
      </c>
      <c r="I13" s="149">
        <v>-107151</v>
      </c>
      <c r="J13" s="149">
        <v>-39080</v>
      </c>
      <c r="K13" s="153"/>
    </row>
    <row r="14" spans="1:11" x14ac:dyDescent="0.5">
      <c r="A14" s="76" t="s">
        <v>14</v>
      </c>
      <c r="B14" s="149">
        <v>-1000</v>
      </c>
      <c r="C14" s="149">
        <v>-8013</v>
      </c>
      <c r="D14" s="149">
        <v>-28602</v>
      </c>
      <c r="E14" s="149">
        <v>-42575</v>
      </c>
      <c r="F14" s="149">
        <v>-50973</v>
      </c>
      <c r="G14" s="149">
        <v>-23812</v>
      </c>
      <c r="H14" s="149">
        <v>-64800</v>
      </c>
      <c r="I14" s="149">
        <v>-37100</v>
      </c>
      <c r="J14" s="149">
        <v>-750</v>
      </c>
      <c r="K14" s="153"/>
    </row>
    <row r="15" spans="1:11" x14ac:dyDescent="0.5">
      <c r="A15" s="76" t="s">
        <v>20</v>
      </c>
      <c r="B15" s="144">
        <f>SUM(B17/$B$69)</f>
        <v>-1.4906559721044603E-3</v>
      </c>
      <c r="C15" s="144">
        <f>SUM(C17/$C$69)</f>
        <v>-4.4857271218405803E-3</v>
      </c>
      <c r="D15" s="144">
        <f>SUM(D17/$D$69)</f>
        <v>-1.1554076314578839E-2</v>
      </c>
      <c r="E15" s="144">
        <f>SUM(E17/$E$69)</f>
        <v>-2.2662158393961896E-2</v>
      </c>
      <c r="F15" s="144">
        <f>SUM(F17/$F$69)</f>
        <v>-1.8255831406276311E-2</v>
      </c>
      <c r="G15" s="144">
        <f>SUM(G17/$G$69)</f>
        <v>-8.9570611276746284E-3</v>
      </c>
      <c r="H15" s="144">
        <f>SUM(H17/$H$69)</f>
        <v>-5.7230557287958469E-3</v>
      </c>
      <c r="I15" s="144">
        <f>SUM(I17/$I$69)</f>
        <v>-1.4786137351605449E-2</v>
      </c>
      <c r="J15" s="144">
        <f>SUM(J17/$J$69)</f>
        <v>-2.6441494912082071E-3</v>
      </c>
      <c r="K15" s="153"/>
    </row>
    <row r="16" spans="1:11" x14ac:dyDescent="0.5">
      <c r="A16" s="76" t="s">
        <v>16</v>
      </c>
      <c r="B16" s="149">
        <v>-2529</v>
      </c>
      <c r="C16" s="149">
        <v>-49191</v>
      </c>
      <c r="D16" s="149">
        <v>-98655</v>
      </c>
      <c r="E16" s="149">
        <v>-192139</v>
      </c>
      <c r="F16" s="149">
        <v>-305346</v>
      </c>
      <c r="G16" s="149">
        <v>-312264</v>
      </c>
      <c r="H16" s="149">
        <v>-305780</v>
      </c>
      <c r="I16" s="149">
        <v>-216303</v>
      </c>
      <c r="J16" s="149">
        <v>-54322</v>
      </c>
      <c r="K16" s="153"/>
    </row>
    <row r="17" spans="1:11" x14ac:dyDescent="0.5">
      <c r="A17" s="76" t="s">
        <v>15</v>
      </c>
      <c r="B17" s="149">
        <v>-2500</v>
      </c>
      <c r="C17" s="149">
        <v>-12970</v>
      </c>
      <c r="D17" s="149">
        <v>-42470</v>
      </c>
      <c r="E17" s="149">
        <v>-136454</v>
      </c>
      <c r="F17" s="149">
        <v>-171619</v>
      </c>
      <c r="G17" s="149">
        <v>-147393</v>
      </c>
      <c r="H17" s="149">
        <v>-171738</v>
      </c>
      <c r="I17" s="149">
        <v>-112107</v>
      </c>
      <c r="J17" s="149">
        <v>-31234</v>
      </c>
      <c r="K17" s="153"/>
    </row>
    <row r="18" spans="1:11" x14ac:dyDescent="0.5">
      <c r="A18" s="76" t="s">
        <v>14</v>
      </c>
      <c r="B18" s="149">
        <v>-2369</v>
      </c>
      <c r="C18" s="149">
        <v>-8329</v>
      </c>
      <c r="D18" s="149">
        <v>-22261</v>
      </c>
      <c r="E18" s="149">
        <v>-55221</v>
      </c>
      <c r="F18" s="149">
        <v>-74211</v>
      </c>
      <c r="G18" s="149">
        <v>-106605</v>
      </c>
      <c r="H18" s="149">
        <v>-111861</v>
      </c>
      <c r="I18" s="149">
        <v>-22855</v>
      </c>
      <c r="J18" s="149">
        <v>-22515</v>
      </c>
      <c r="K18" s="153"/>
    </row>
    <row r="19" spans="1:11" x14ac:dyDescent="0.5">
      <c r="A19" s="76" t="s">
        <v>21</v>
      </c>
      <c r="B19" s="144">
        <f>SUM(B21/$B$69)</f>
        <v>-1.2376618405188914E-2</v>
      </c>
      <c r="C19" s="144">
        <f>SUM(C21/$C$69)</f>
        <v>-2.0272927270696166E-2</v>
      </c>
      <c r="D19" s="144">
        <f>SUM(D21/$D$69)</f>
        <v>-3.3283466081426995E-2</v>
      </c>
      <c r="E19" s="144">
        <f>SUM(E21/$E$69)</f>
        <v>-3.3624541974584247E-2</v>
      </c>
      <c r="F19" s="144">
        <f>SUM(F21/$F$69)</f>
        <v>-3.7073531262362673E-2</v>
      </c>
      <c r="G19" s="144">
        <f>SUM(G21/$G$69)</f>
        <v>-4.0547940510378619E-2</v>
      </c>
      <c r="H19" s="144">
        <f>SUM(H21/$H$69)</f>
        <v>-3.5022549748659489E-2</v>
      </c>
      <c r="I19" s="144">
        <f>SUM(I21/$I$69)</f>
        <v>-3.8048119606974455E-2</v>
      </c>
      <c r="J19" s="144">
        <f>SUM(J21/$J$69)</f>
        <v>-3.353567840965676E-3</v>
      </c>
      <c r="K19" s="153"/>
    </row>
    <row r="20" spans="1:11" x14ac:dyDescent="0.5">
      <c r="A20" s="76" t="s">
        <v>16</v>
      </c>
      <c r="B20" s="149">
        <v>-87830</v>
      </c>
      <c r="C20" s="149">
        <v>-84230</v>
      </c>
      <c r="D20" s="149">
        <v>-215953</v>
      </c>
      <c r="E20" s="149">
        <v>-305020</v>
      </c>
      <c r="F20" s="149">
        <v>-583706</v>
      </c>
      <c r="G20" s="149">
        <v>-859604</v>
      </c>
      <c r="H20" s="149">
        <v>-1551545</v>
      </c>
      <c r="I20" s="149">
        <v>-654673</v>
      </c>
      <c r="J20" s="149">
        <v>-107824</v>
      </c>
      <c r="K20" s="153"/>
    </row>
    <row r="21" spans="1:11" x14ac:dyDescent="0.5">
      <c r="A21" s="76" t="s">
        <v>15</v>
      </c>
      <c r="B21" s="149">
        <v>-20757</v>
      </c>
      <c r="C21" s="149">
        <v>-58617</v>
      </c>
      <c r="D21" s="149">
        <v>-122342</v>
      </c>
      <c r="E21" s="149">
        <v>-202461</v>
      </c>
      <c r="F21" s="149">
        <v>-348520</v>
      </c>
      <c r="G21" s="149">
        <v>-667237</v>
      </c>
      <c r="H21" s="149">
        <v>-1050960</v>
      </c>
      <c r="I21" s="149">
        <v>-288477</v>
      </c>
      <c r="J21" s="149">
        <v>-39614</v>
      </c>
      <c r="K21" s="153"/>
    </row>
    <row r="22" spans="1:11" x14ac:dyDescent="0.5">
      <c r="A22" s="76" t="s">
        <v>14</v>
      </c>
      <c r="B22" s="149">
        <v>-13190</v>
      </c>
      <c r="C22" s="149">
        <v>-30963</v>
      </c>
      <c r="D22" s="149">
        <v>-61121</v>
      </c>
      <c r="E22" s="149">
        <v>-112220</v>
      </c>
      <c r="F22" s="149">
        <v>-225673</v>
      </c>
      <c r="G22" s="149">
        <v>-368067</v>
      </c>
      <c r="H22" s="149">
        <v>-561770</v>
      </c>
      <c r="I22" s="149">
        <v>-111357</v>
      </c>
      <c r="J22" s="149">
        <v>-15414</v>
      </c>
      <c r="K22" s="153"/>
    </row>
    <row r="23" spans="1:11" x14ac:dyDescent="0.5">
      <c r="A23" s="77" t="s">
        <v>22</v>
      </c>
      <c r="B23" s="144">
        <f>SUM(B25/$B$69)</f>
        <v>3.1587596311282357E-2</v>
      </c>
      <c r="C23" s="144">
        <f>SUM(C25/$C$69)</f>
        <v>4.011941648886886E-2</v>
      </c>
      <c r="D23" s="144">
        <f>SUM(D25/$D$69)</f>
        <v>4.5503799351372054E-2</v>
      </c>
      <c r="E23" s="144">
        <f>SUM(E25/$E$69)</f>
        <v>2.9936091099040111E-2</v>
      </c>
      <c r="F23" s="144">
        <f>SUM(F25/$F$69)</f>
        <v>3.7719328944830835E-2</v>
      </c>
      <c r="G23" s="144">
        <f>SUM(G25/$G$69)</f>
        <v>3.0066465886895384E-2</v>
      </c>
      <c r="H23" s="144">
        <f>SUM(H25/$H$69)</f>
        <v>4.4199906725168658E-2</v>
      </c>
      <c r="I23" s="30">
        <f>SUM(I25/$I$69)</f>
        <v>3.8425070025332707E-2</v>
      </c>
      <c r="J23" s="30">
        <f>SUM(J25/$J$69)</f>
        <v>3.416365756460913E-2</v>
      </c>
    </row>
    <row r="24" spans="1:11" x14ac:dyDescent="0.5">
      <c r="A24" s="76" t="s">
        <v>16</v>
      </c>
      <c r="B24" s="149">
        <v>94471</v>
      </c>
      <c r="C24" s="149">
        <v>161863</v>
      </c>
      <c r="D24" s="149">
        <v>328254</v>
      </c>
      <c r="E24" s="149">
        <v>419488</v>
      </c>
      <c r="F24" s="149">
        <v>559584</v>
      </c>
      <c r="G24" s="149">
        <v>711231</v>
      </c>
      <c r="H24" s="149">
        <v>2316543</v>
      </c>
      <c r="I24" s="149">
        <v>577861</v>
      </c>
      <c r="J24" s="149">
        <v>607630</v>
      </c>
    </row>
    <row r="25" spans="1:11" x14ac:dyDescent="0.5">
      <c r="A25" s="76" t="s">
        <v>15</v>
      </c>
      <c r="B25" s="149">
        <v>52976</v>
      </c>
      <c r="C25" s="149">
        <v>116001</v>
      </c>
      <c r="D25" s="149">
        <v>167261</v>
      </c>
      <c r="E25" s="149">
        <v>180252</v>
      </c>
      <c r="F25" s="149">
        <v>354591</v>
      </c>
      <c r="G25" s="149">
        <v>494759</v>
      </c>
      <c r="H25" s="149">
        <v>1326355</v>
      </c>
      <c r="I25" s="149">
        <v>291335</v>
      </c>
      <c r="J25" s="149">
        <v>403558</v>
      </c>
    </row>
    <row r="26" spans="1:11" x14ac:dyDescent="0.5">
      <c r="A26" s="76" t="s">
        <v>14</v>
      </c>
      <c r="B26" s="149">
        <v>26594</v>
      </c>
      <c r="C26" s="149">
        <v>65202</v>
      </c>
      <c r="D26" s="149">
        <v>105081</v>
      </c>
      <c r="E26" s="149">
        <v>89678</v>
      </c>
      <c r="F26" s="149">
        <v>275000</v>
      </c>
      <c r="G26" s="149">
        <v>276948</v>
      </c>
      <c r="H26" s="149">
        <v>536181</v>
      </c>
      <c r="I26" s="149">
        <v>116731</v>
      </c>
      <c r="J26" s="149">
        <v>178909</v>
      </c>
    </row>
    <row r="27" spans="1:11" x14ac:dyDescent="0.5">
      <c r="A27" s="77" t="s">
        <v>28</v>
      </c>
      <c r="B27" s="144">
        <f>SUM(B29/$B$69)</f>
        <v>2.7103106884803298E-2</v>
      </c>
      <c r="C27" s="144">
        <f>SUM(C29/$C$69)</f>
        <v>1.1016835137942162E-2</v>
      </c>
      <c r="D27" s="144">
        <f>SUM(D29/$D$69)</f>
        <v>6.801316408393477E-3</v>
      </c>
      <c r="E27" s="144">
        <f>SUM(E29/$E$69)</f>
        <v>1.0795141920409245E-2</v>
      </c>
      <c r="F27" s="144">
        <f>SUM(F29/$F$69)</f>
        <v>2.0148334547240083E-2</v>
      </c>
      <c r="G27" s="144">
        <f>SUM(G29/$G$69)</f>
        <v>2.5128666636808378E-2</v>
      </c>
      <c r="H27" s="144">
        <f>SUM(H29/$H$69)</f>
        <v>2.4377022266825001E-2</v>
      </c>
      <c r="I27" s="30">
        <f>SUM(I29/$I$69)</f>
        <v>2.7396170801009086E-2</v>
      </c>
      <c r="J27" s="30">
        <f>SUM(J29/$J$69)</f>
        <v>1.5212028890765998E-2</v>
      </c>
    </row>
    <row r="28" spans="1:11" x14ac:dyDescent="0.5">
      <c r="A28" s="76" t="s">
        <v>16</v>
      </c>
      <c r="B28" s="149">
        <v>53805</v>
      </c>
      <c r="C28" s="149">
        <v>128052</v>
      </c>
      <c r="D28" s="149">
        <v>111288</v>
      </c>
      <c r="E28" s="149">
        <v>150444</v>
      </c>
      <c r="F28" s="149">
        <v>418288</v>
      </c>
      <c r="G28" s="149">
        <v>892942</v>
      </c>
      <c r="H28" s="149">
        <v>1314012</v>
      </c>
      <c r="I28" s="149">
        <v>544033</v>
      </c>
      <c r="J28" s="149">
        <v>356150</v>
      </c>
    </row>
    <row r="29" spans="1:11" x14ac:dyDescent="0.5">
      <c r="A29" s="76" t="s">
        <v>15</v>
      </c>
      <c r="B29" s="149">
        <v>45455</v>
      </c>
      <c r="C29" s="149">
        <v>31854</v>
      </c>
      <c r="D29" s="149">
        <v>25000</v>
      </c>
      <c r="E29" s="149">
        <v>65000</v>
      </c>
      <c r="F29" s="149">
        <v>189410</v>
      </c>
      <c r="G29" s="149">
        <v>413505</v>
      </c>
      <c r="H29" s="149">
        <v>731508</v>
      </c>
      <c r="I29" s="149">
        <v>207715</v>
      </c>
      <c r="J29" s="149">
        <v>179692</v>
      </c>
    </row>
    <row r="30" spans="1:11" x14ac:dyDescent="0.5">
      <c r="A30" s="76" t="s">
        <v>14</v>
      </c>
      <c r="B30" s="149">
        <v>23031</v>
      </c>
      <c r="C30" s="149">
        <v>6027</v>
      </c>
      <c r="D30" s="149">
        <v>8564</v>
      </c>
      <c r="E30" s="149">
        <v>32306</v>
      </c>
      <c r="F30" s="149">
        <v>110086</v>
      </c>
      <c r="G30" s="149">
        <v>247525</v>
      </c>
      <c r="H30" s="149">
        <v>359903</v>
      </c>
      <c r="I30" s="149">
        <v>57721</v>
      </c>
      <c r="J30" s="149">
        <v>73230</v>
      </c>
    </row>
    <row r="31" spans="1:11" x14ac:dyDescent="0.5">
      <c r="A31" s="77" t="s">
        <v>29</v>
      </c>
      <c r="B31" s="144">
        <f>SUM(B33/$B$69)</f>
        <v>3.2973310102950661E-4</v>
      </c>
      <c r="C31" s="144">
        <f>SUM(C33/$C$69)</f>
        <v>2.0938004622685327E-3</v>
      </c>
      <c r="D31" s="144">
        <f>SUM(D33/$D$69)</f>
        <v>2.702843140695568E-3</v>
      </c>
      <c r="E31" s="144">
        <f>SUM(E33/$E$69)</f>
        <v>7.9399099220142343E-3</v>
      </c>
      <c r="F31" s="144">
        <f>SUM(F33/$F$69)</f>
        <v>6.0215235400222769E-3</v>
      </c>
      <c r="G31" s="144">
        <f>SUM(G33/$G$69)</f>
        <v>5.8667282792650172E-3</v>
      </c>
      <c r="H31" s="144">
        <f>SUM(H33/$H$69)</f>
        <v>6.0542330327866527E-3</v>
      </c>
      <c r="I31" s="30">
        <f>SUM(I33/$I$69)</f>
        <v>7.0641932845583932E-3</v>
      </c>
      <c r="J31" s="30">
        <f>SUM(J33/$J$69)</f>
        <v>1.4156790259533676E-2</v>
      </c>
    </row>
    <row r="32" spans="1:11" x14ac:dyDescent="0.5">
      <c r="A32" s="76" t="s">
        <v>16</v>
      </c>
      <c r="B32" s="149">
        <v>958</v>
      </c>
      <c r="C32" s="149">
        <v>59096</v>
      </c>
      <c r="D32" s="149">
        <v>58000</v>
      </c>
      <c r="E32" s="149">
        <v>204003</v>
      </c>
      <c r="F32" s="149">
        <v>247222</v>
      </c>
      <c r="G32" s="149">
        <v>328875</v>
      </c>
      <c r="H32" s="149">
        <v>341422</v>
      </c>
      <c r="I32" s="149">
        <v>213582</v>
      </c>
      <c r="J32" s="149">
        <v>501489</v>
      </c>
    </row>
    <row r="33" spans="1:10" x14ac:dyDescent="0.5">
      <c r="A33" s="76" t="s">
        <v>15</v>
      </c>
      <c r="B33" s="149">
        <v>553</v>
      </c>
      <c r="C33" s="149">
        <v>6054</v>
      </c>
      <c r="D33" s="149">
        <v>9935</v>
      </c>
      <c r="E33" s="149">
        <v>47808</v>
      </c>
      <c r="F33" s="149">
        <v>56607</v>
      </c>
      <c r="G33" s="149">
        <v>96540</v>
      </c>
      <c r="H33" s="149">
        <v>181676</v>
      </c>
      <c r="I33" s="149">
        <v>53560</v>
      </c>
      <c r="J33" s="149">
        <v>167227</v>
      </c>
    </row>
    <row r="34" spans="1:10" x14ac:dyDescent="0.5">
      <c r="A34" s="76" t="s">
        <v>14</v>
      </c>
      <c r="B34" s="149">
        <v>27</v>
      </c>
      <c r="C34" s="149">
        <v>669</v>
      </c>
      <c r="D34" s="149">
        <v>2177</v>
      </c>
      <c r="E34" s="149">
        <v>3049</v>
      </c>
      <c r="F34" s="149">
        <v>1826</v>
      </c>
      <c r="G34" s="149">
        <v>40066</v>
      </c>
      <c r="H34" s="149">
        <v>40228</v>
      </c>
      <c r="I34" s="149">
        <v>3907</v>
      </c>
      <c r="J34" s="149">
        <v>30974</v>
      </c>
    </row>
    <row r="35" spans="1:10" x14ac:dyDescent="0.5">
      <c r="A35" s="77" t="s">
        <v>23</v>
      </c>
      <c r="B35" s="144">
        <f>SUM(B37/$B$69)</f>
        <v>4.089644472588029E-2</v>
      </c>
      <c r="C35" s="144">
        <f>SUM(C37/$C$69)</f>
        <v>0.22180934933438656</v>
      </c>
      <c r="D35" s="144">
        <f>SUM(D37/$D$69)</f>
        <v>9.3735742740478911E-3</v>
      </c>
      <c r="E35" s="144">
        <f>SUM(E37/$E$69)</f>
        <v>1.6607910646783453E-2</v>
      </c>
      <c r="F35" s="144">
        <f>SUM(F37/$F$69)</f>
        <v>0</v>
      </c>
      <c r="G35" s="144">
        <f>SUM(G37/$G$69)</f>
        <v>1.9691034777471788E-2</v>
      </c>
      <c r="H35" s="144">
        <f>SUM(H37/$H$69)</f>
        <v>1.4019150499223625E-2</v>
      </c>
      <c r="I35" s="30">
        <f>SUM(I37/$I$69)</f>
        <v>1.6222848655725961E-2</v>
      </c>
      <c r="J35" s="30">
        <f>SUM(J37/$J$69)</f>
        <v>7.7629753716700306E-2</v>
      </c>
    </row>
    <row r="36" spans="1:10" x14ac:dyDescent="0.5">
      <c r="A36" s="76" t="s">
        <v>16</v>
      </c>
      <c r="B36" s="149">
        <v>100000</v>
      </c>
      <c r="C36" s="149">
        <v>757786</v>
      </c>
      <c r="D36" s="149">
        <v>60000</v>
      </c>
      <c r="E36" s="149">
        <v>215262</v>
      </c>
      <c r="F36" s="149">
        <v>0</v>
      </c>
      <c r="G36" s="149">
        <v>324026</v>
      </c>
      <c r="H36" s="149">
        <v>809000</v>
      </c>
      <c r="I36" s="149">
        <v>586669</v>
      </c>
      <c r="J36" s="149">
        <v>1372366</v>
      </c>
    </row>
    <row r="37" spans="1:10" x14ac:dyDescent="0.5">
      <c r="A37" s="76" t="s">
        <v>15</v>
      </c>
      <c r="B37" s="149">
        <v>68588</v>
      </c>
      <c r="C37" s="149">
        <v>641338</v>
      </c>
      <c r="D37" s="149">
        <v>34455</v>
      </c>
      <c r="E37" s="149">
        <v>100000</v>
      </c>
      <c r="F37" s="149">
        <v>0</v>
      </c>
      <c r="G37" s="149">
        <v>324026</v>
      </c>
      <c r="H37" s="149">
        <v>420688</v>
      </c>
      <c r="I37" s="149">
        <v>123000</v>
      </c>
      <c r="J37" s="149">
        <v>917001</v>
      </c>
    </row>
    <row r="38" spans="1:10" x14ac:dyDescent="0.5">
      <c r="A38" s="76" t="s">
        <v>14</v>
      </c>
      <c r="B38" s="149">
        <v>37175</v>
      </c>
      <c r="C38" s="149">
        <v>123000</v>
      </c>
      <c r="D38" s="149">
        <v>8909</v>
      </c>
      <c r="E38" s="149">
        <v>9300</v>
      </c>
      <c r="F38" s="149">
        <v>0</v>
      </c>
      <c r="G38" s="149">
        <v>324026</v>
      </c>
      <c r="H38" s="149">
        <v>32375</v>
      </c>
      <c r="I38" s="149">
        <v>34223</v>
      </c>
      <c r="J38" s="149">
        <v>461636</v>
      </c>
    </row>
    <row r="39" spans="1:10" x14ac:dyDescent="0.5">
      <c r="A39" s="77" t="s">
        <v>24</v>
      </c>
      <c r="B39" s="144">
        <f>SUM(B41/$B$69)</f>
        <v>3.1228050090810762E-2</v>
      </c>
      <c r="C39" s="144">
        <f>SUM(C41/$C$69)</f>
        <v>3.392274934607644E-2</v>
      </c>
      <c r="D39" s="144">
        <f>SUM(D41/$D$69)</f>
        <v>4.0822589293802995E-2</v>
      </c>
      <c r="E39" s="144">
        <f>SUM(E41/$E$69)</f>
        <v>3.4600256725082781E-2</v>
      </c>
      <c r="F39" s="144">
        <f>SUM(F41/$F$69)</f>
        <v>3.6926203014921E-2</v>
      </c>
      <c r="G39" s="144">
        <f>SUM(G41/$G$69)</f>
        <v>4.0486198269527852E-2</v>
      </c>
      <c r="H39" s="144">
        <f>SUM(H41/$H$69)</f>
        <v>3.7765809525729638E-2</v>
      </c>
      <c r="I39" s="30">
        <f>SUM(I41/$I$69)</f>
        <v>4.2656991342142646E-2</v>
      </c>
      <c r="J39" s="30">
        <f>SUM(J41/$J$69)</f>
        <v>3.3750535661647742E-2</v>
      </c>
    </row>
    <row r="40" spans="1:10" x14ac:dyDescent="0.5">
      <c r="A40" s="76" t="s">
        <v>16</v>
      </c>
      <c r="B40" s="149">
        <v>219496</v>
      </c>
      <c r="C40" s="149">
        <v>203194</v>
      </c>
      <c r="D40" s="149">
        <v>392555</v>
      </c>
      <c r="E40" s="149">
        <v>370003</v>
      </c>
      <c r="F40" s="149">
        <v>572973</v>
      </c>
      <c r="G40" s="149">
        <v>982335</v>
      </c>
      <c r="H40" s="149">
        <v>1650323</v>
      </c>
      <c r="I40" s="149">
        <v>691043</v>
      </c>
      <c r="J40" s="149">
        <v>732244</v>
      </c>
    </row>
    <row r="41" spans="1:10" x14ac:dyDescent="0.5">
      <c r="A41" s="76" t="s">
        <v>15</v>
      </c>
      <c r="B41" s="149">
        <v>52373</v>
      </c>
      <c r="C41" s="149">
        <v>98084</v>
      </c>
      <c r="D41" s="149">
        <v>150054</v>
      </c>
      <c r="E41" s="149">
        <v>208336</v>
      </c>
      <c r="F41" s="149">
        <v>347135</v>
      </c>
      <c r="G41" s="149">
        <v>666221</v>
      </c>
      <c r="H41" s="149">
        <v>1133280</v>
      </c>
      <c r="I41" s="149">
        <v>323421</v>
      </c>
      <c r="J41" s="149">
        <v>398678</v>
      </c>
    </row>
    <row r="42" spans="1:10" x14ac:dyDescent="0.5">
      <c r="A42" s="76" t="s">
        <v>14</v>
      </c>
      <c r="B42" s="149">
        <v>40286</v>
      </c>
      <c r="C42" s="149">
        <v>47950</v>
      </c>
      <c r="D42" s="149">
        <v>99835</v>
      </c>
      <c r="E42" s="149">
        <v>124556</v>
      </c>
      <c r="F42" s="149">
        <v>159196</v>
      </c>
      <c r="G42" s="149">
        <v>404431</v>
      </c>
      <c r="H42" s="149">
        <v>590000</v>
      </c>
      <c r="I42" s="149">
        <v>128946</v>
      </c>
      <c r="J42" s="149">
        <v>272983</v>
      </c>
    </row>
    <row r="43" spans="1:10" x14ac:dyDescent="0.5">
      <c r="A43" s="77" t="s">
        <v>25</v>
      </c>
      <c r="B43" s="144">
        <f>SUM(B45/$B$69)</f>
        <v>2.7866919004909625E-2</v>
      </c>
      <c r="C43" s="144">
        <f>SUM(C45/$C$69)</f>
        <v>1.0377350986185552E-2</v>
      </c>
      <c r="D43" s="144">
        <f>SUM(D45/$D$69)</f>
        <v>6.801316408393477E-3</v>
      </c>
      <c r="E43" s="144">
        <f>SUM(E45/$E$69)</f>
        <v>5.1484523005028713E-3</v>
      </c>
      <c r="F43" s="144">
        <f>SUM(F45/$F$69)</f>
        <v>2.9332681755986764E-3</v>
      </c>
      <c r="G43" s="144">
        <f>SUM(G45/$G$69)</f>
        <v>1.3977082082359167E-3</v>
      </c>
      <c r="H43" s="144">
        <f>SUM(H45/$H$69)</f>
        <v>6.6225463495766723E-3</v>
      </c>
      <c r="I43" s="30">
        <f>SUM(I45/$I$69)</f>
        <v>3.9567923550551118E-3</v>
      </c>
      <c r="J43" s="30">
        <f>SUM(J45/$J$69)</f>
        <v>1.7432389806928156E-2</v>
      </c>
    </row>
    <row r="44" spans="1:10" x14ac:dyDescent="0.5">
      <c r="A44" s="76" t="s">
        <v>16</v>
      </c>
      <c r="B44" s="149">
        <v>64846</v>
      </c>
      <c r="C44" s="149">
        <v>118309</v>
      </c>
      <c r="D44" s="149">
        <v>67505</v>
      </c>
      <c r="E44" s="149">
        <v>101340</v>
      </c>
      <c r="F44" s="149">
        <v>63570</v>
      </c>
      <c r="G44" s="149">
        <v>45750</v>
      </c>
      <c r="H44" s="149">
        <v>198730</v>
      </c>
      <c r="I44" s="149">
        <v>80622</v>
      </c>
      <c r="J44" s="149">
        <v>423500</v>
      </c>
    </row>
    <row r="45" spans="1:10" x14ac:dyDescent="0.5">
      <c r="A45" s="76" t="s">
        <v>15</v>
      </c>
      <c r="B45" s="149">
        <v>46736</v>
      </c>
      <c r="C45" s="149">
        <v>30005</v>
      </c>
      <c r="D45" s="149">
        <v>25000</v>
      </c>
      <c r="E45" s="149">
        <v>31000</v>
      </c>
      <c r="F45" s="149">
        <v>27575</v>
      </c>
      <c r="G45" s="149">
        <v>23000</v>
      </c>
      <c r="H45" s="149">
        <v>198730</v>
      </c>
      <c r="I45" s="149">
        <v>30000</v>
      </c>
      <c r="J45" s="149">
        <v>205920</v>
      </c>
    </row>
    <row r="46" spans="1:10" x14ac:dyDescent="0.5">
      <c r="A46" s="76" t="s">
        <v>14</v>
      </c>
      <c r="B46" s="149">
        <v>14035</v>
      </c>
      <c r="C46" s="149">
        <v>7125</v>
      </c>
      <c r="D46" s="149">
        <v>9000</v>
      </c>
      <c r="E46" s="149">
        <v>12220</v>
      </c>
      <c r="F46" s="149">
        <v>6058</v>
      </c>
      <c r="G46" s="149">
        <v>7500</v>
      </c>
      <c r="H46" s="149">
        <v>198730</v>
      </c>
      <c r="I46" s="149">
        <v>8500</v>
      </c>
      <c r="J46" s="149">
        <v>77996</v>
      </c>
    </row>
    <row r="47" spans="1:10" x14ac:dyDescent="0.5">
      <c r="A47" s="77" t="s">
        <v>26</v>
      </c>
      <c r="B47" s="144">
        <f>SUM(B49/$B$69)</f>
        <v>2.173972669717145E-2</v>
      </c>
      <c r="C47" s="144">
        <f>SUM(C49/$C$69)</f>
        <v>3.0810754539420965E-2</v>
      </c>
      <c r="D47" s="144">
        <f>SUM(D49/$D$69)</f>
        <v>2.8951843687249354E-3</v>
      </c>
      <c r="E47" s="144">
        <f>SUM(E49/$E$69)</f>
        <v>4.8284178623393533E-3</v>
      </c>
      <c r="F47" s="144">
        <f>SUM(F49/$F$69)</f>
        <v>7.7923346123410864E-3</v>
      </c>
      <c r="G47" s="144">
        <f>SUM(G49/$G$69)</f>
        <v>8.7607135093785305E-3</v>
      </c>
      <c r="H47" s="144">
        <f>SUM(H49/$H$69)</f>
        <v>1.1261627904070551E-2</v>
      </c>
      <c r="I47" s="30">
        <f>SUM(I49/$I$69)</f>
        <v>7.9135847101102236E-3</v>
      </c>
      <c r="J47" s="30">
        <f>SUM(J49/$J$69)</f>
        <v>5.7536537161415697E-3</v>
      </c>
    </row>
    <row r="48" spans="1:10" x14ac:dyDescent="0.5">
      <c r="A48" s="76" t="s">
        <v>16</v>
      </c>
      <c r="B48" s="149">
        <v>113027</v>
      </c>
      <c r="C48" s="149">
        <v>270184</v>
      </c>
      <c r="D48" s="149">
        <v>95222</v>
      </c>
      <c r="E48" s="149">
        <v>50080</v>
      </c>
      <c r="F48" s="149">
        <v>236802</v>
      </c>
      <c r="G48" s="149">
        <v>346323</v>
      </c>
      <c r="H48" s="149">
        <v>406883</v>
      </c>
      <c r="I48" s="149">
        <v>318670</v>
      </c>
      <c r="J48" s="149">
        <v>426306</v>
      </c>
    </row>
    <row r="49" spans="1:10" x14ac:dyDescent="0.5">
      <c r="A49" s="76" t="s">
        <v>15</v>
      </c>
      <c r="B49" s="149">
        <v>36460</v>
      </c>
      <c r="C49" s="149">
        <v>89086</v>
      </c>
      <c r="D49" s="149">
        <v>10642</v>
      </c>
      <c r="E49" s="149">
        <v>29073</v>
      </c>
      <c r="F49" s="149">
        <v>73254</v>
      </c>
      <c r="G49" s="149">
        <v>144162</v>
      </c>
      <c r="H49" s="149">
        <v>337940</v>
      </c>
      <c r="I49" s="149">
        <v>60000</v>
      </c>
      <c r="J49" s="149">
        <v>67965</v>
      </c>
    </row>
    <row r="50" spans="1:10" x14ac:dyDescent="0.5">
      <c r="A50" s="76" t="s">
        <v>14</v>
      </c>
      <c r="B50" s="149">
        <v>8462</v>
      </c>
      <c r="C50" s="149">
        <v>8927</v>
      </c>
      <c r="D50" s="149">
        <v>5003</v>
      </c>
      <c r="E50" s="149">
        <v>16774</v>
      </c>
      <c r="F50" s="149">
        <v>21237</v>
      </c>
      <c r="G50" s="149">
        <v>42313</v>
      </c>
      <c r="H50" s="149">
        <v>57605</v>
      </c>
      <c r="I50" s="149">
        <v>13198</v>
      </c>
      <c r="J50" s="149">
        <v>18145</v>
      </c>
    </row>
    <row r="51" spans="1:10" x14ac:dyDescent="0.5">
      <c r="A51" s="77" t="s">
        <v>30</v>
      </c>
      <c r="B51" s="144">
        <f>SUM(B53/$B$69)</f>
        <v>1.9054160897828055E-2</v>
      </c>
      <c r="C51" s="144">
        <f>SUM(C53/$C$69)</f>
        <v>2.2979581122317166E-2</v>
      </c>
      <c r="D51" s="144">
        <f>SUM(D53/$D$69)</f>
        <v>1.9595408730550615E-2</v>
      </c>
      <c r="E51" s="144">
        <f>SUM(E53/$E$69)</f>
        <v>2.4507131187713069E-2</v>
      </c>
      <c r="F51" s="144">
        <f>SUM(F53/$F$69)</f>
        <v>1.1851679919649196E-2</v>
      </c>
      <c r="G51" s="144">
        <f>SUM(G53/$G$69)</f>
        <v>7.0457863077951583E-3</v>
      </c>
      <c r="H51" s="144">
        <f>SUM(H53/$H$69)</f>
        <v>7.7479093557921621E-3</v>
      </c>
      <c r="I51" s="30">
        <f>SUM(I53/$I$69)</f>
        <v>1.3766340068629245E-2</v>
      </c>
      <c r="J51" s="30">
        <f>SUM(J53/$J$69)</f>
        <v>2.2502614604502657E-2</v>
      </c>
    </row>
    <row r="52" spans="1:10" x14ac:dyDescent="0.5">
      <c r="A52" s="76" t="s">
        <v>16</v>
      </c>
      <c r="B52" s="149">
        <v>71750</v>
      </c>
      <c r="C52" s="149">
        <v>98181</v>
      </c>
      <c r="D52" s="149">
        <v>114645</v>
      </c>
      <c r="E52" s="149">
        <v>219990</v>
      </c>
      <c r="F52" s="149">
        <v>142092</v>
      </c>
      <c r="G52" s="149">
        <v>314193</v>
      </c>
      <c r="H52" s="149">
        <v>395920</v>
      </c>
      <c r="I52" s="149">
        <v>187508</v>
      </c>
      <c r="J52" s="149">
        <v>429140</v>
      </c>
    </row>
    <row r="53" spans="1:10" x14ac:dyDescent="0.5">
      <c r="A53" s="76" t="s">
        <v>15</v>
      </c>
      <c r="B53" s="149">
        <v>31956</v>
      </c>
      <c r="C53" s="149">
        <v>66443</v>
      </c>
      <c r="D53" s="149">
        <v>72028</v>
      </c>
      <c r="E53" s="149">
        <v>147563</v>
      </c>
      <c r="F53" s="149">
        <v>111415</v>
      </c>
      <c r="G53" s="149">
        <v>115942</v>
      </c>
      <c r="H53" s="149">
        <v>232500</v>
      </c>
      <c r="I53" s="149">
        <v>104375</v>
      </c>
      <c r="J53" s="149">
        <v>265812</v>
      </c>
    </row>
    <row r="54" spans="1:10" x14ac:dyDescent="0.5">
      <c r="A54" s="76" t="s">
        <v>14</v>
      </c>
      <c r="B54" s="149">
        <v>9442</v>
      </c>
      <c r="C54" s="149">
        <v>31956</v>
      </c>
      <c r="D54" s="149">
        <v>38861</v>
      </c>
      <c r="E54" s="149">
        <v>64954</v>
      </c>
      <c r="F54" s="149">
        <v>61280</v>
      </c>
      <c r="G54" s="149">
        <v>52600</v>
      </c>
      <c r="H54" s="149">
        <v>66660</v>
      </c>
      <c r="I54" s="149">
        <v>44494</v>
      </c>
      <c r="J54" s="149">
        <v>125350</v>
      </c>
    </row>
    <row r="55" spans="1:10" x14ac:dyDescent="0.5">
      <c r="A55" s="77" t="s">
        <v>31</v>
      </c>
      <c r="B55" s="144">
        <f>SUM(B57/$B$69)</f>
        <v>1.7060855731929971E-2</v>
      </c>
      <c r="C55" s="144">
        <f>SUM(C57/$C$69)</f>
        <v>2.0744672204712399E-2</v>
      </c>
      <c r="D55" s="144">
        <f>SUM(D57/$D$69)</f>
        <v>1.0686772446180503E-2</v>
      </c>
      <c r="E55" s="144">
        <f>SUM(E57/$E$69)</f>
        <v>1.2734281567527681E-2</v>
      </c>
      <c r="F55" s="144">
        <f>SUM(F57/$F$69)</f>
        <v>1.2445673373594545E-2</v>
      </c>
      <c r="G55" s="144">
        <f>SUM(G57/$G$69)</f>
        <v>1.3472023259809222E-2</v>
      </c>
      <c r="H55" s="144">
        <f>SUM(H57/$H$69)</f>
        <v>6.0126109304839241E-3</v>
      </c>
      <c r="I55" s="30">
        <f>SUM(I57/$I$69)</f>
        <v>1.373376247823929E-2</v>
      </c>
      <c r="J55" s="30">
        <f>SUM(J57/$J$69)</f>
        <v>7.7092949211233462E-3</v>
      </c>
    </row>
    <row r="56" spans="1:10" x14ac:dyDescent="0.5">
      <c r="A56" s="76" t="s">
        <v>16</v>
      </c>
      <c r="B56" s="149">
        <v>165271</v>
      </c>
      <c r="C56" s="149">
        <v>141153</v>
      </c>
      <c r="D56" s="149">
        <v>87134</v>
      </c>
      <c r="E56" s="149">
        <v>143642</v>
      </c>
      <c r="F56" s="149">
        <v>216168</v>
      </c>
      <c r="G56" s="149">
        <v>424653</v>
      </c>
      <c r="H56" s="149">
        <v>337336</v>
      </c>
      <c r="I56" s="149">
        <v>217935</v>
      </c>
      <c r="J56" s="149">
        <v>219448</v>
      </c>
    </row>
    <row r="57" spans="1:10" x14ac:dyDescent="0.5">
      <c r="A57" s="76" t="s">
        <v>15</v>
      </c>
      <c r="B57" s="149">
        <v>28613</v>
      </c>
      <c r="C57" s="149">
        <v>59981</v>
      </c>
      <c r="D57" s="149">
        <v>39282</v>
      </c>
      <c r="E57" s="149">
        <v>76676</v>
      </c>
      <c r="F57" s="149">
        <v>116999</v>
      </c>
      <c r="G57" s="149">
        <v>221689</v>
      </c>
      <c r="H57" s="149">
        <v>180427</v>
      </c>
      <c r="I57" s="149">
        <v>104128</v>
      </c>
      <c r="J57" s="149">
        <v>91066</v>
      </c>
    </row>
    <row r="58" spans="1:10" x14ac:dyDescent="0.5">
      <c r="A58" s="76" t="s">
        <v>14</v>
      </c>
      <c r="B58" s="149">
        <v>6202</v>
      </c>
      <c r="C58" s="149">
        <v>13093</v>
      </c>
      <c r="D58" s="149">
        <v>24213</v>
      </c>
      <c r="E58" s="149">
        <v>10794</v>
      </c>
      <c r="F58" s="149">
        <v>24232</v>
      </c>
      <c r="G58" s="149">
        <v>97321</v>
      </c>
      <c r="H58" s="149">
        <v>106278</v>
      </c>
      <c r="I58" s="149">
        <v>26426</v>
      </c>
      <c r="J58" s="149">
        <v>28074</v>
      </c>
    </row>
    <row r="59" spans="1:10" x14ac:dyDescent="0.5">
      <c r="A59" s="77" t="s">
        <v>169</v>
      </c>
      <c r="B59" s="144">
        <f>SUM(B61/$B$69)</f>
        <v>0</v>
      </c>
      <c r="C59" s="144">
        <f>SUM(C61/$C$69)</f>
        <v>0</v>
      </c>
      <c r="D59" s="144">
        <f>SUM(D61/$D$69)</f>
        <v>0</v>
      </c>
      <c r="E59" s="144">
        <f>SUM(E61/$E$69)</f>
        <v>0</v>
      </c>
      <c r="F59" s="144">
        <f>SUM(F61/$F$69)</f>
        <v>0</v>
      </c>
      <c r="G59" s="144">
        <f>SUM(G61/$G$69)</f>
        <v>0</v>
      </c>
      <c r="H59" s="144">
        <f>SUM(H61/$H$69)</f>
        <v>0</v>
      </c>
      <c r="I59" s="30">
        <f>SUM(I61/$I$69)</f>
        <v>0</v>
      </c>
      <c r="J59" s="30">
        <f>SUM(J61/$J$69)</f>
        <v>0</v>
      </c>
    </row>
    <row r="60" spans="1:10" x14ac:dyDescent="0.5">
      <c r="A60" s="76" t="s">
        <v>16</v>
      </c>
      <c r="B60" s="149"/>
      <c r="C60" s="149"/>
      <c r="D60" s="149"/>
      <c r="E60" s="149"/>
      <c r="F60" s="149"/>
      <c r="G60" s="149"/>
      <c r="H60" s="149"/>
      <c r="I60" s="149"/>
      <c r="J60" s="149"/>
    </row>
    <row r="61" spans="1:10" x14ac:dyDescent="0.5">
      <c r="A61" s="76" t="s">
        <v>15</v>
      </c>
      <c r="B61" s="149"/>
      <c r="C61" s="149"/>
      <c r="D61" s="149"/>
      <c r="E61" s="149"/>
      <c r="F61" s="149"/>
      <c r="G61" s="149"/>
      <c r="H61" s="149"/>
      <c r="I61" s="149"/>
      <c r="J61" s="149"/>
    </row>
    <row r="62" spans="1:10" x14ac:dyDescent="0.5">
      <c r="A62" s="76" t="s">
        <v>14</v>
      </c>
      <c r="B62" s="149"/>
      <c r="C62" s="149"/>
      <c r="D62" s="149"/>
      <c r="E62" s="149"/>
      <c r="F62" s="149"/>
      <c r="G62" s="149"/>
      <c r="H62" s="149"/>
      <c r="I62" s="149"/>
      <c r="J62" s="149"/>
    </row>
    <row r="63" spans="1:10" x14ac:dyDescent="0.5">
      <c r="A63" s="77" t="s">
        <v>27</v>
      </c>
      <c r="B63" s="144">
        <f>SUM(B65/$B$69)</f>
        <v>9.813047890602547E-2</v>
      </c>
      <c r="C63" s="144">
        <f>SUM(C65/$C$69)</f>
        <v>1.9116391303430562E-2</v>
      </c>
      <c r="D63" s="144">
        <f>SUM(D65/$D$69)</f>
        <v>8.8450031680531824E-2</v>
      </c>
      <c r="E63" s="144">
        <f>SUM(E65/$E$69)</f>
        <v>2.1536142052109977E-2</v>
      </c>
      <c r="F63" s="144">
        <f>SUM(F65/$F$69)</f>
        <v>2.495357564592799E-2</v>
      </c>
      <c r="G63" s="144">
        <f>SUM(G65/$G$69)</f>
        <v>1.8333252408053741E-2</v>
      </c>
      <c r="H63" s="144">
        <f>SUM(H65/$H$69)</f>
        <v>2.3541381084004165E-2</v>
      </c>
      <c r="I63" s="30">
        <f>SUM(I65/$I$69)</f>
        <v>3.6569466303890359E-2</v>
      </c>
      <c r="J63" s="30">
        <f>SUM(J65/$J$69)</f>
        <v>2.1833069290871174E-2</v>
      </c>
    </row>
    <row r="64" spans="1:10" x14ac:dyDescent="0.5">
      <c r="A64" s="76" t="s">
        <v>16</v>
      </c>
      <c r="B64" s="149">
        <v>207288</v>
      </c>
      <c r="C64" s="149">
        <v>101144</v>
      </c>
      <c r="D64" s="149">
        <v>737701</v>
      </c>
      <c r="E64" s="149">
        <v>437500</v>
      </c>
      <c r="F64" s="149">
        <v>753344</v>
      </c>
      <c r="G64" s="149">
        <v>1027000</v>
      </c>
      <c r="H64" s="149">
        <v>2861331</v>
      </c>
      <c r="I64" s="149">
        <v>859332</v>
      </c>
      <c r="J64" s="149">
        <v>330946</v>
      </c>
    </row>
    <row r="65" spans="1:10" x14ac:dyDescent="0.5">
      <c r="A65" s="76" t="s">
        <v>15</v>
      </c>
      <c r="B65" s="149">
        <v>164576</v>
      </c>
      <c r="C65" s="149">
        <v>55273</v>
      </c>
      <c r="D65" s="149">
        <v>325121</v>
      </c>
      <c r="E65" s="149">
        <v>129674</v>
      </c>
      <c r="F65" s="149">
        <v>234583</v>
      </c>
      <c r="G65" s="149">
        <v>301683</v>
      </c>
      <c r="H65" s="149">
        <v>706432</v>
      </c>
      <c r="I65" s="149">
        <v>277266</v>
      </c>
      <c r="J65" s="149">
        <v>257903</v>
      </c>
    </row>
    <row r="66" spans="1:10" x14ac:dyDescent="0.5">
      <c r="A66" s="76" t="s">
        <v>14</v>
      </c>
      <c r="B66" s="149">
        <v>113307</v>
      </c>
      <c r="C66" s="149">
        <v>23266</v>
      </c>
      <c r="D66" s="149">
        <v>175779</v>
      </c>
      <c r="E66" s="149">
        <v>53300</v>
      </c>
      <c r="F66" s="149">
        <v>137875</v>
      </c>
      <c r="G66" s="149">
        <v>115800</v>
      </c>
      <c r="H66" s="149">
        <v>312629</v>
      </c>
      <c r="I66" s="149">
        <v>101441</v>
      </c>
      <c r="J66" s="149">
        <v>127092</v>
      </c>
    </row>
    <row r="67" spans="1:10" x14ac:dyDescent="0.5">
      <c r="A67" s="154" t="s">
        <v>49</v>
      </c>
      <c r="B67" s="145"/>
      <c r="D67" s="145"/>
      <c r="E67" s="145"/>
      <c r="F67" s="145"/>
      <c r="G67" s="145"/>
      <c r="H67" s="145"/>
      <c r="I67" s="145"/>
      <c r="J67" s="145"/>
    </row>
    <row r="68" spans="1:10" x14ac:dyDescent="0.5">
      <c r="A68" s="76" t="s">
        <v>16</v>
      </c>
      <c r="B68" s="146">
        <f t="shared" ref="B68:I70" si="0">SUM(B4,B8,B12,B16,B20,B24,B28,B32,B36,B40,B44,B48,B52,B56,B64)</f>
        <v>2455486</v>
      </c>
      <c r="C68" s="146">
        <f t="shared" si="0"/>
        <v>4205541</v>
      </c>
      <c r="D68" s="146">
        <f t="shared" si="0"/>
        <v>6275470</v>
      </c>
      <c r="E68" s="146">
        <f t="shared" si="0"/>
        <v>9029120</v>
      </c>
      <c r="F68" s="146">
        <f t="shared" si="0"/>
        <v>14218354</v>
      </c>
      <c r="G68" s="146">
        <f t="shared" si="0"/>
        <v>21190137</v>
      </c>
      <c r="H68" s="146">
        <f t="shared" si="0"/>
        <v>43354774</v>
      </c>
      <c r="I68" s="146">
        <f t="shared" si="0"/>
        <v>16934855</v>
      </c>
      <c r="J68" s="146">
        <f t="shared" ref="J68" si="1">SUM(J4,J8,J12,J16,J20,J24,J28,J32,J36,J40,J44,J48,J52,J56,J64)</f>
        <v>16632868</v>
      </c>
    </row>
    <row r="69" spans="1:10" x14ac:dyDescent="0.5">
      <c r="A69" s="76" t="s">
        <v>15</v>
      </c>
      <c r="B69" s="146">
        <f t="shared" si="0"/>
        <v>1677114</v>
      </c>
      <c r="C69" s="146">
        <f t="shared" si="0"/>
        <v>2891393</v>
      </c>
      <c r="D69" s="146">
        <f t="shared" si="0"/>
        <v>3675759</v>
      </c>
      <c r="E69" s="146">
        <f t="shared" si="0"/>
        <v>6021227</v>
      </c>
      <c r="F69" s="146">
        <f t="shared" si="0"/>
        <v>9400777</v>
      </c>
      <c r="G69" s="146">
        <f t="shared" si="0"/>
        <v>16455509</v>
      </c>
      <c r="H69" s="146">
        <f t="shared" si="0"/>
        <v>30008095</v>
      </c>
      <c r="I69" s="146">
        <f t="shared" si="0"/>
        <v>7581899</v>
      </c>
      <c r="J69" s="146">
        <f t="shared" ref="J69" si="2">SUM(J5,J9,J13,J17,J21,J25,J29,J33,J37,J41,J45,J49,J53,J57,J65)</f>
        <v>11812494</v>
      </c>
    </row>
    <row r="70" spans="1:10" x14ac:dyDescent="0.5">
      <c r="A70" s="76" t="s">
        <v>14</v>
      </c>
      <c r="B70" s="146">
        <f t="shared" si="0"/>
        <v>848257</v>
      </c>
      <c r="C70" s="146">
        <f t="shared" si="0"/>
        <v>1632903</v>
      </c>
      <c r="D70" s="146">
        <f t="shared" si="0"/>
        <v>2393967</v>
      </c>
      <c r="E70" s="146">
        <f t="shared" si="0"/>
        <v>4088204</v>
      </c>
      <c r="F70" s="146">
        <f t="shared" si="0"/>
        <v>7235697</v>
      </c>
      <c r="G70" s="146">
        <f t="shared" si="0"/>
        <v>12962646</v>
      </c>
      <c r="H70" s="146">
        <f t="shared" si="0"/>
        <v>21110020</v>
      </c>
      <c r="I70" s="146">
        <f t="shared" si="0"/>
        <v>2904044</v>
      </c>
      <c r="J70" s="146">
        <f t="shared" ref="J70" si="3">SUM(J6,J10,J14,J18,J22,J26,J30,J34,J38,J42,J46,J50,J54,J58,J66)</f>
        <v>6382423</v>
      </c>
    </row>
    <row r="71" spans="1:10" x14ac:dyDescent="0.5">
      <c r="A71" s="152" t="s">
        <v>4</v>
      </c>
      <c r="B71" s="144"/>
      <c r="D71" s="145"/>
      <c r="E71" s="145"/>
      <c r="F71" s="145"/>
      <c r="G71" s="145"/>
      <c r="H71" s="145"/>
      <c r="I71" s="145"/>
      <c r="J71" s="145"/>
    </row>
    <row r="72" spans="1:10" x14ac:dyDescent="0.5">
      <c r="A72" s="76" t="s">
        <v>0</v>
      </c>
      <c r="B72" s="144"/>
      <c r="D72" s="145"/>
      <c r="E72" s="145"/>
      <c r="F72" s="145"/>
      <c r="G72" s="145"/>
      <c r="H72" s="145"/>
      <c r="I72" s="145"/>
      <c r="J72" s="145"/>
    </row>
    <row r="73" spans="1:10" x14ac:dyDescent="0.5">
      <c r="A73" s="76" t="s">
        <v>16</v>
      </c>
      <c r="B73" s="147">
        <f t="shared" ref="B73:C75" si="4">SUM(B4,B8,B12,B16,B20)/B68</f>
        <v>0.55572461011791552</v>
      </c>
      <c r="C73" s="147">
        <f t="shared" si="4"/>
        <v>0.5151724831597172</v>
      </c>
      <c r="D73" s="147">
        <f t="shared" ref="D73:F73" si="5">SUM(D4,D8,D12,D16,D20)/D68</f>
        <v>0.67296409671307489</v>
      </c>
      <c r="E73" s="147">
        <f t="shared" si="5"/>
        <v>0.74396707541820239</v>
      </c>
      <c r="F73" s="147">
        <f t="shared" si="5"/>
        <v>0.7742324463155158</v>
      </c>
      <c r="G73" s="147">
        <f t="shared" ref="G73:H73" si="6">SUM(G4,G8,G12,G16,G20)/G68</f>
        <v>0.74529055663962906</v>
      </c>
      <c r="H73" s="147">
        <f t="shared" si="6"/>
        <v>0.75477902387404905</v>
      </c>
      <c r="I73" s="147">
        <f t="shared" ref="I73:J73" si="7">SUM(I4,I8,I12,I16,I20)/I68</f>
        <v>0.74742889738353235</v>
      </c>
      <c r="J73" s="147">
        <f t="shared" si="7"/>
        <v>0.67538857399697994</v>
      </c>
    </row>
    <row r="74" spans="1:10" x14ac:dyDescent="0.5">
      <c r="A74" s="76" t="s">
        <v>15</v>
      </c>
      <c r="B74" s="147">
        <f t="shared" si="4"/>
        <v>0.68500292764832926</v>
      </c>
      <c r="C74" s="147">
        <f t="shared" si="4"/>
        <v>0.58700909907439081</v>
      </c>
      <c r="D74" s="147">
        <f t="shared" ref="D74:F74" si="8">SUM(D5,D9,D13,D17,D21)/D69</f>
        <v>0.76636716389730664</v>
      </c>
      <c r="E74" s="147">
        <f t="shared" si="8"/>
        <v>0.83136626471647723</v>
      </c>
      <c r="F74" s="147">
        <f t="shared" si="8"/>
        <v>0.83920807822587429</v>
      </c>
      <c r="G74" s="147">
        <f t="shared" ref="G74:H74" si="9">SUM(G5,G9,G13,G17,G21)/G69</f>
        <v>0.82975142245675904</v>
      </c>
      <c r="H74" s="147">
        <f t="shared" si="9"/>
        <v>0.81839780232633896</v>
      </c>
      <c r="I74" s="147">
        <f t="shared" ref="I74:J74" si="10">SUM(I5,I9,I13,I17,I21)/I69</f>
        <v>0.79229477997530695</v>
      </c>
      <c r="J74" s="147">
        <f t="shared" si="10"/>
        <v>0.7498562115671763</v>
      </c>
    </row>
    <row r="75" spans="1:10" x14ac:dyDescent="0.5">
      <c r="A75" s="76" t="s">
        <v>14</v>
      </c>
      <c r="B75" s="147">
        <f t="shared" si="4"/>
        <v>0.67160777924614823</v>
      </c>
      <c r="C75" s="147">
        <f t="shared" si="4"/>
        <v>0.79961148947610483</v>
      </c>
      <c r="D75" s="147">
        <f t="shared" ref="D75:F75" si="11">SUM(D6,D10,D14,D18,D22)/D70</f>
        <v>0.80057285668515898</v>
      </c>
      <c r="E75" s="147">
        <f t="shared" si="11"/>
        <v>0.89801609704408092</v>
      </c>
      <c r="F75" s="147">
        <f t="shared" si="11"/>
        <v>0.88988068461130976</v>
      </c>
      <c r="G75" s="147">
        <f t="shared" ref="G75:H75" si="12">SUM(G6,G10,G14,G18,G22)/G70</f>
        <v>0.87591036583117365</v>
      </c>
      <c r="H75" s="147">
        <f t="shared" si="12"/>
        <v>0.89101909898711606</v>
      </c>
      <c r="I75" s="147">
        <f t="shared" ref="I75:J75" si="13">SUM(I6,I10,I14,I18,I22)/I70</f>
        <v>0.81557200923952944</v>
      </c>
      <c r="J75" s="147">
        <f t="shared" si="13"/>
        <v>0.78152670231979293</v>
      </c>
    </row>
    <row r="76" spans="1:10" x14ac:dyDescent="0.5">
      <c r="A76" s="76" t="s">
        <v>34</v>
      </c>
      <c r="B76" s="144"/>
      <c r="D76" s="145"/>
      <c r="E76" s="145"/>
      <c r="F76" s="145"/>
      <c r="G76" s="145"/>
      <c r="H76" s="145"/>
      <c r="I76" s="145"/>
      <c r="J76" s="145"/>
    </row>
    <row r="77" spans="1:10" x14ac:dyDescent="0.5">
      <c r="A77" s="76" t="s">
        <v>16</v>
      </c>
      <c r="B77" s="144">
        <f t="shared" ref="B77:C79" si="14">SUM(B8,B12,B16,B20)*-1/B68</f>
        <v>0.16803353796356404</v>
      </c>
      <c r="C77" s="144">
        <f t="shared" si="14"/>
        <v>0.13648707740573687</v>
      </c>
      <c r="D77" s="144">
        <f t="shared" ref="D77:F77" si="15">SUM(D8,D12,D16,D20)*-1/D68</f>
        <v>0.17537013163954254</v>
      </c>
      <c r="E77" s="144">
        <f t="shared" si="15"/>
        <v>0.18390297171817407</v>
      </c>
      <c r="F77" s="144">
        <f t="shared" si="15"/>
        <v>0.19142250924403767</v>
      </c>
      <c r="G77" s="144">
        <f t="shared" ref="G77:H77" si="16">SUM(G8,G12,G16,G20)*-1/G68</f>
        <v>0.16572228862890315</v>
      </c>
      <c r="H77" s="144">
        <f t="shared" si="16"/>
        <v>0.13550897532068787</v>
      </c>
      <c r="I77" s="144">
        <f t="shared" ref="I77:J77" si="17">SUM(I8,I12,I16,I20)*-1/I68</f>
        <v>0.16794852982207406</v>
      </c>
      <c r="J77" s="144">
        <f t="shared" si="17"/>
        <v>0.10175972057254347</v>
      </c>
    </row>
    <row r="78" spans="1:10" x14ac:dyDescent="0.5">
      <c r="A78" s="76" t="s">
        <v>15</v>
      </c>
      <c r="B78" s="144">
        <f t="shared" si="14"/>
        <v>0.10462019874617945</v>
      </c>
      <c r="C78" s="144">
        <f t="shared" si="14"/>
        <v>0.10626227565744262</v>
      </c>
      <c r="D78" s="144">
        <f t="shared" ref="D78:F78" si="18">SUM(D9,D13,D17,D21)*-1/D69</f>
        <v>0.15634893364880559</v>
      </c>
      <c r="E78" s="144">
        <f t="shared" si="18"/>
        <v>0.14324372756582671</v>
      </c>
      <c r="F78" s="144">
        <f t="shared" si="18"/>
        <v>0.16281409504767533</v>
      </c>
      <c r="G78" s="144">
        <f t="shared" ref="G78:H78" si="19">SUM(G9,G13,G17,G21)*-1/G69</f>
        <v>0.14367911682342976</v>
      </c>
      <c r="H78" s="144">
        <f t="shared" si="19"/>
        <v>0.13647977320786275</v>
      </c>
      <c r="I78" s="144">
        <f t="shared" ref="I78:J78" si="20">SUM(I9,I13,I17,I21)*-1/I69</f>
        <v>0.15426491437039719</v>
      </c>
      <c r="J78" s="144">
        <f t="shared" si="20"/>
        <v>7.9916485036944776E-2</v>
      </c>
    </row>
    <row r="79" spans="1:10" x14ac:dyDescent="0.5">
      <c r="A79" s="76" t="s">
        <v>14</v>
      </c>
      <c r="B79" s="144">
        <f t="shared" si="14"/>
        <v>0.12190645052148111</v>
      </c>
      <c r="C79" s="144">
        <f t="shared" si="14"/>
        <v>7.9901868022779057E-2</v>
      </c>
      <c r="D79" s="144">
        <f t="shared" ref="D79:F79" si="21">SUM(D10,D14,D18,D22)*-1/D70</f>
        <v>0.11047311846821614</v>
      </c>
      <c r="E79" s="144">
        <f t="shared" si="21"/>
        <v>9.1052207766540022E-2</v>
      </c>
      <c r="F79" s="144">
        <f t="shared" si="21"/>
        <v>0.11860363970464767</v>
      </c>
      <c r="G79" s="144">
        <f t="shared" ref="G79:H79" si="22">SUM(G10,G14,G18,G22)*-1/G70</f>
        <v>0.11460445652839706</v>
      </c>
      <c r="H79" s="144">
        <f t="shared" si="22"/>
        <v>0.11556194641217772</v>
      </c>
      <c r="I79" s="144">
        <f t="shared" ref="I79:J79" si="23">SUM(I10,I14,I18,I22)*-1/I70</f>
        <v>0.14163731678996599</v>
      </c>
      <c r="J79" s="144">
        <f t="shared" si="23"/>
        <v>9.1681638775743951E-2</v>
      </c>
    </row>
    <row r="80" spans="1:10" x14ac:dyDescent="0.5">
      <c r="A80" s="76"/>
      <c r="B80" s="144"/>
      <c r="D80" s="145"/>
      <c r="E80" s="145"/>
      <c r="F80" s="145"/>
      <c r="G80" s="145"/>
      <c r="H80" s="145"/>
      <c r="I80" s="145"/>
      <c r="J80" s="145"/>
    </row>
    <row r="81" spans="1:10" x14ac:dyDescent="0.5">
      <c r="A81" s="152" t="s">
        <v>84</v>
      </c>
      <c r="B81" s="144"/>
    </row>
    <row r="82" spans="1:10" x14ac:dyDescent="0.5">
      <c r="A82" s="155" t="s">
        <v>52</v>
      </c>
      <c r="B82" s="156">
        <f>SUM(B84/$B$285)</f>
        <v>0.32045435840971359</v>
      </c>
      <c r="C82" s="156">
        <f>SUM(C84/$C$285)</f>
        <v>0.31649438631355531</v>
      </c>
      <c r="D82" s="156">
        <f>SUM(D84/$D$285)</f>
        <v>0.30286951709042675</v>
      </c>
      <c r="E82" s="156">
        <f>SUM(E84/$E$285)</f>
        <v>0.2850130261688778</v>
      </c>
      <c r="F82" s="156">
        <f>SUM(F84/$F$285)</f>
        <v>0.28592334364406874</v>
      </c>
      <c r="G82" s="156">
        <f>SUM(G84/$G$285)</f>
        <v>0.26657664197056413</v>
      </c>
      <c r="H82" s="156">
        <f>SUM(H84/$H$285)</f>
        <v>0.2687625167587363</v>
      </c>
      <c r="I82" s="156">
        <f>SUM(I84/$I$285)</f>
        <v>0.29692397258012965</v>
      </c>
      <c r="J82" s="156">
        <f>SUM(J84/$J$285)</f>
        <v>0.25329047592243903</v>
      </c>
    </row>
    <row r="83" spans="1:10" x14ac:dyDescent="0.5">
      <c r="A83" s="76" t="s">
        <v>16</v>
      </c>
      <c r="B83" s="157">
        <v>522562</v>
      </c>
      <c r="C83" s="157">
        <v>1116877</v>
      </c>
      <c r="D83" s="157">
        <v>1554739</v>
      </c>
      <c r="E83" s="157">
        <v>2462128</v>
      </c>
      <c r="F83" s="157">
        <v>3492659</v>
      </c>
      <c r="G83" s="157">
        <v>5343434</v>
      </c>
      <c r="H83" s="157">
        <v>9831663</v>
      </c>
      <c r="I83" s="157">
        <v>4262760</v>
      </c>
      <c r="J83" s="157">
        <v>3681727</v>
      </c>
    </row>
    <row r="84" spans="1:10" x14ac:dyDescent="0.5">
      <c r="A84" s="76" t="s">
        <v>15</v>
      </c>
      <c r="B84" s="157">
        <v>401056</v>
      </c>
      <c r="C84" s="157">
        <v>749165</v>
      </c>
      <c r="D84" s="157">
        <v>1064908</v>
      </c>
      <c r="E84" s="157">
        <v>1895358</v>
      </c>
      <c r="F84" s="157">
        <v>2919205</v>
      </c>
      <c r="G84" s="157">
        <v>4678025</v>
      </c>
      <c r="H84" s="157">
        <v>7580765</v>
      </c>
      <c r="I84" s="157">
        <v>2347638</v>
      </c>
      <c r="J84" s="157">
        <v>2789949</v>
      </c>
    </row>
    <row r="85" spans="1:10" x14ac:dyDescent="0.5">
      <c r="A85" s="76" t="s">
        <v>14</v>
      </c>
      <c r="B85" s="157">
        <v>352453</v>
      </c>
      <c r="C85" s="157">
        <v>536812</v>
      </c>
      <c r="D85" s="157">
        <v>852197</v>
      </c>
      <c r="E85" s="157">
        <v>1370500</v>
      </c>
      <c r="F85" s="157">
        <v>2382709</v>
      </c>
      <c r="G85" s="157">
        <v>3891219</v>
      </c>
      <c r="H85" s="157">
        <v>5693090</v>
      </c>
      <c r="I85" s="157">
        <v>1060772</v>
      </c>
      <c r="J85" s="157">
        <v>1762476</v>
      </c>
    </row>
    <row r="86" spans="1:10" x14ac:dyDescent="0.5">
      <c r="A86" s="77" t="s">
        <v>53</v>
      </c>
      <c r="B86" s="156">
        <f>SUM(B88/$B$285)</f>
        <v>2.0774688119994597E-2</v>
      </c>
      <c r="C86" s="156">
        <f>SUM(C88/$C$285)</f>
        <v>2.3769872652796366E-2</v>
      </c>
      <c r="D86" s="156">
        <f>SUM(D88/$D$285)</f>
        <v>2.3287416433498614E-2</v>
      </c>
      <c r="E86" s="156">
        <f>SUM(E88/$E$285)</f>
        <v>1.4463596275229978E-2</v>
      </c>
      <c r="F86" s="156">
        <f>SUM(F88/$F$285)</f>
        <v>1.5938690743267193E-2</v>
      </c>
      <c r="G86" s="156">
        <f>SUM(G88/$G$285)</f>
        <v>1.2251746842667853E-2</v>
      </c>
      <c r="H86" s="156">
        <f>SUM(H88/$H$285)</f>
        <v>1.2662684183014618E-2</v>
      </c>
      <c r="I86" s="156">
        <f>SUM(I88/$I$285)</f>
        <v>1.9555357350867872E-2</v>
      </c>
      <c r="J86" s="156">
        <f>SUM(J88/$J$285)</f>
        <v>9.5013808668684557E-3</v>
      </c>
    </row>
    <row r="87" spans="1:10" x14ac:dyDescent="0.5">
      <c r="A87" s="76" t="s">
        <v>16</v>
      </c>
      <c r="B87" s="157">
        <v>37440</v>
      </c>
      <c r="C87" s="157">
        <v>164022</v>
      </c>
      <c r="D87" s="157">
        <v>165978</v>
      </c>
      <c r="E87" s="157">
        <v>235879</v>
      </c>
      <c r="F87" s="157">
        <v>262905</v>
      </c>
      <c r="G87" s="157">
        <v>267731</v>
      </c>
      <c r="H87" s="157">
        <v>545970</v>
      </c>
      <c r="I87" s="157">
        <v>254324</v>
      </c>
      <c r="J87" s="157">
        <v>375478</v>
      </c>
    </row>
    <row r="88" spans="1:10" x14ac:dyDescent="0.5">
      <c r="A88" s="76" t="s">
        <v>15</v>
      </c>
      <c r="B88" s="157">
        <v>26000</v>
      </c>
      <c r="C88" s="157">
        <v>56265</v>
      </c>
      <c r="D88" s="157">
        <v>81880</v>
      </c>
      <c r="E88" s="157">
        <v>96184</v>
      </c>
      <c r="F88" s="157">
        <v>162730</v>
      </c>
      <c r="G88" s="157">
        <v>215000</v>
      </c>
      <c r="H88" s="157">
        <v>357166</v>
      </c>
      <c r="I88" s="157">
        <v>154615</v>
      </c>
      <c r="J88" s="157">
        <v>104656</v>
      </c>
    </row>
    <row r="89" spans="1:10" x14ac:dyDescent="0.5">
      <c r="A89" s="76" t="s">
        <v>14</v>
      </c>
      <c r="B89" s="157">
        <v>14166</v>
      </c>
      <c r="C89" s="157">
        <v>23299</v>
      </c>
      <c r="D89" s="157">
        <v>48960</v>
      </c>
      <c r="E89" s="157">
        <v>58246</v>
      </c>
      <c r="F89" s="157">
        <v>76841</v>
      </c>
      <c r="G89" s="157">
        <v>189653</v>
      </c>
      <c r="H89" s="157">
        <v>200009</v>
      </c>
      <c r="I89" s="157">
        <v>56575</v>
      </c>
      <c r="J89" s="157">
        <v>61444</v>
      </c>
    </row>
    <row r="90" spans="1:10" x14ac:dyDescent="0.5">
      <c r="A90" s="77" t="s">
        <v>54</v>
      </c>
      <c r="B90" s="156">
        <f>SUM(B92/$B$285)</f>
        <v>1.2474401189590603E-2</v>
      </c>
      <c r="C90" s="156">
        <f>SUM(C92/$C$285)</f>
        <v>1.9238958510767734E-2</v>
      </c>
      <c r="D90" s="156">
        <f>SUM(D92/$D$285)</f>
        <v>1.3926091178141911E-2</v>
      </c>
      <c r="E90" s="156">
        <f>SUM(E92/$E$285)</f>
        <v>1.2330687999759402E-2</v>
      </c>
      <c r="F90" s="156">
        <f>SUM(F92/$F$285)</f>
        <v>1.032082381669203E-2</v>
      </c>
      <c r="G90" s="156">
        <f>SUM(G92/$G$285)</f>
        <v>8.6762882198941245E-3</v>
      </c>
      <c r="H90" s="156">
        <f>SUM(H92/$H$285)</f>
        <v>8.116198915812221E-3</v>
      </c>
      <c r="I90" s="156">
        <f>SUM(I92/$I$285)</f>
        <v>1.1985663999967621E-2</v>
      </c>
      <c r="J90" s="156">
        <f>SUM(J92/$J$285)</f>
        <v>1.4591886204223038E-2</v>
      </c>
    </row>
    <row r="91" spans="1:10" x14ac:dyDescent="0.5">
      <c r="A91" s="76" t="s">
        <v>16</v>
      </c>
      <c r="B91" s="157">
        <v>39551</v>
      </c>
      <c r="C91" s="157">
        <v>52749</v>
      </c>
      <c r="D91" s="157">
        <v>65482</v>
      </c>
      <c r="E91" s="157">
        <v>124729</v>
      </c>
      <c r="F91" s="157">
        <v>188604</v>
      </c>
      <c r="G91" s="157">
        <v>236610</v>
      </c>
      <c r="H91" s="157">
        <v>279575</v>
      </c>
      <c r="I91" s="157">
        <v>208915</v>
      </c>
      <c r="J91" s="157">
        <v>163316</v>
      </c>
    </row>
    <row r="92" spans="1:10" x14ac:dyDescent="0.5">
      <c r="A92" s="76" t="s">
        <v>15</v>
      </c>
      <c r="B92" s="157">
        <v>15612</v>
      </c>
      <c r="C92" s="157">
        <v>45540</v>
      </c>
      <c r="D92" s="157">
        <v>48965</v>
      </c>
      <c r="E92" s="157">
        <v>82000</v>
      </c>
      <c r="F92" s="157">
        <v>105373</v>
      </c>
      <c r="G92" s="157">
        <v>152256</v>
      </c>
      <c r="H92" s="157">
        <v>228927</v>
      </c>
      <c r="I92" s="157">
        <v>94765</v>
      </c>
      <c r="J92" s="157">
        <v>160727</v>
      </c>
    </row>
    <row r="93" spans="1:10" x14ac:dyDescent="0.5">
      <c r="A93" s="76" t="s">
        <v>14</v>
      </c>
      <c r="B93" s="157">
        <v>7870</v>
      </c>
      <c r="C93" s="157">
        <v>30734</v>
      </c>
      <c r="D93" s="157">
        <v>36190</v>
      </c>
      <c r="E93" s="157">
        <v>28583</v>
      </c>
      <c r="F93" s="157">
        <v>72285</v>
      </c>
      <c r="G93" s="157">
        <v>109031</v>
      </c>
      <c r="H93" s="157">
        <v>138992</v>
      </c>
      <c r="I93" s="157">
        <v>46852</v>
      </c>
      <c r="J93" s="157">
        <v>90113</v>
      </c>
    </row>
    <row r="94" spans="1:10" x14ac:dyDescent="0.5">
      <c r="A94" s="77" t="s">
        <v>55</v>
      </c>
      <c r="B94" s="156">
        <f>SUM(B96/$B$285)</f>
        <v>7.9902646615363834E-3</v>
      </c>
      <c r="C94" s="156">
        <f>SUM(C96/$C$285)</f>
        <v>1.7523759311081369E-2</v>
      </c>
      <c r="D94" s="156">
        <f>SUM(D96/$D$285)</f>
        <v>1.4173527087975127E-2</v>
      </c>
      <c r="E94" s="156">
        <f>SUM(E96/$E$285)</f>
        <v>1.2537753333609019E-2</v>
      </c>
      <c r="F94" s="156">
        <f>SUM(F96/$F$285)</f>
        <v>1.2582094345726687E-2</v>
      </c>
      <c r="G94" s="156">
        <f>SUM(G96/$G$285)</f>
        <v>7.4009098660069187E-3</v>
      </c>
      <c r="H94" s="156">
        <f>SUM(H96/$H$285)</f>
        <v>9.6634128175580227E-3</v>
      </c>
      <c r="I94" s="156">
        <f>SUM(I96/$I$285)</f>
        <v>1.5849938702558353E-2</v>
      </c>
      <c r="J94" s="156">
        <f>SUM(J96/$J$285)</f>
        <v>2.2582121178557617E-2</v>
      </c>
    </row>
    <row r="95" spans="1:10" x14ac:dyDescent="0.5">
      <c r="A95" s="76" t="s">
        <v>16</v>
      </c>
      <c r="B95" s="157">
        <v>20750</v>
      </c>
      <c r="C95" s="157">
        <v>60282</v>
      </c>
      <c r="D95" s="157">
        <v>175026</v>
      </c>
      <c r="E95" s="157">
        <v>141119</v>
      </c>
      <c r="F95" s="157">
        <v>214109</v>
      </c>
      <c r="G95" s="157">
        <v>282008</v>
      </c>
      <c r="H95" s="157">
        <v>385825</v>
      </c>
      <c r="I95" s="157">
        <v>244632</v>
      </c>
      <c r="J95" s="157">
        <v>427560</v>
      </c>
    </row>
    <row r="96" spans="1:10" x14ac:dyDescent="0.5">
      <c r="A96" s="76" t="s">
        <v>15</v>
      </c>
      <c r="B96" s="157">
        <v>10000</v>
      </c>
      <c r="C96" s="157">
        <v>41480</v>
      </c>
      <c r="D96" s="157">
        <v>49835</v>
      </c>
      <c r="E96" s="157">
        <v>83377</v>
      </c>
      <c r="F96" s="157">
        <v>128460</v>
      </c>
      <c r="G96" s="157">
        <v>129875</v>
      </c>
      <c r="H96" s="157">
        <v>272568</v>
      </c>
      <c r="I96" s="157">
        <v>125318</v>
      </c>
      <c r="J96" s="157">
        <v>248738</v>
      </c>
    </row>
    <row r="97" spans="1:10" x14ac:dyDescent="0.5">
      <c r="A97" s="76" t="s">
        <v>14</v>
      </c>
      <c r="B97" s="157">
        <v>7069</v>
      </c>
      <c r="C97" s="157">
        <v>12478</v>
      </c>
      <c r="D97" s="157">
        <v>35000</v>
      </c>
      <c r="E97" s="157">
        <v>46561</v>
      </c>
      <c r="F97" s="157">
        <v>75039</v>
      </c>
      <c r="G97" s="157">
        <v>95500</v>
      </c>
      <c r="H97" s="157">
        <v>142437</v>
      </c>
      <c r="I97" s="157">
        <v>51415</v>
      </c>
      <c r="J97" s="157">
        <v>163945</v>
      </c>
    </row>
    <row r="98" spans="1:10" x14ac:dyDescent="0.5">
      <c r="A98" s="77" t="s">
        <v>56</v>
      </c>
      <c r="B98" s="156">
        <f>SUM(B100/$B$285)</f>
        <v>3.1961058646145533E-2</v>
      </c>
      <c r="C98" s="156">
        <f>SUM(C100/$C$285)</f>
        <v>1.2673885711968204E-2</v>
      </c>
      <c r="D98" s="156">
        <f>SUM(D100/$D$285)</f>
        <v>1.1091954578730408E-2</v>
      </c>
      <c r="E98" s="156">
        <f>SUM(E100/$E$285)</f>
        <v>5.9677522433957512E-3</v>
      </c>
      <c r="F98" s="156">
        <f>SUM(F100/$F$285)</f>
        <v>2.9787221955646895E-3</v>
      </c>
      <c r="G98" s="156">
        <f>SUM(G100/$G$285)</f>
        <v>2.8525485741872905E-3</v>
      </c>
      <c r="H98" s="156">
        <f>SUM(H100/$H$285)</f>
        <v>8.9593828076850099E-4</v>
      </c>
      <c r="I98" s="156">
        <f>SUM(I100/$I$285)</f>
        <v>5.039253002170738E-3</v>
      </c>
      <c r="J98" s="156">
        <f>SUM(J100/$J$285)</f>
        <v>0</v>
      </c>
    </row>
    <row r="99" spans="1:10" x14ac:dyDescent="0.5">
      <c r="A99" s="76" t="s">
        <v>16</v>
      </c>
      <c r="B99" s="157">
        <v>40000</v>
      </c>
      <c r="C99" s="157">
        <v>36000</v>
      </c>
      <c r="D99" s="157">
        <v>48000</v>
      </c>
      <c r="E99" s="157">
        <v>42444</v>
      </c>
      <c r="F99" s="157">
        <v>46228</v>
      </c>
      <c r="G99" s="157">
        <v>55921</v>
      </c>
      <c r="H99" s="157">
        <v>25271</v>
      </c>
      <c r="I99" s="157">
        <v>48324</v>
      </c>
      <c r="J99" s="157">
        <v>0</v>
      </c>
    </row>
    <row r="100" spans="1:10" x14ac:dyDescent="0.5">
      <c r="A100" s="76" t="s">
        <v>15</v>
      </c>
      <c r="B100" s="157">
        <v>40000</v>
      </c>
      <c r="C100" s="157">
        <v>30000</v>
      </c>
      <c r="D100" s="157">
        <v>39000</v>
      </c>
      <c r="E100" s="157">
        <v>39686</v>
      </c>
      <c r="F100" s="157">
        <v>30412</v>
      </c>
      <c r="G100" s="157">
        <v>50058</v>
      </c>
      <c r="H100" s="157">
        <v>25271</v>
      </c>
      <c r="I100" s="157">
        <v>39843</v>
      </c>
      <c r="J100" s="157">
        <v>0</v>
      </c>
    </row>
    <row r="101" spans="1:10" x14ac:dyDescent="0.5">
      <c r="A101" s="76" t="s">
        <v>14</v>
      </c>
      <c r="B101" s="157">
        <v>40000</v>
      </c>
      <c r="C101" s="157">
        <v>17000</v>
      </c>
      <c r="D101" s="157">
        <v>30000</v>
      </c>
      <c r="E101" s="157">
        <v>30000</v>
      </c>
      <c r="F101" s="157">
        <v>19140</v>
      </c>
      <c r="G101" s="157">
        <v>34756</v>
      </c>
      <c r="H101" s="157">
        <v>25271</v>
      </c>
      <c r="I101" s="157">
        <v>24578</v>
      </c>
      <c r="J101" s="157">
        <v>0</v>
      </c>
    </row>
    <row r="102" spans="1:10" x14ac:dyDescent="0.5">
      <c r="A102" s="77" t="s">
        <v>57</v>
      </c>
      <c r="B102" s="156">
        <f>SUM(B104/$B$285)</f>
        <v>9.5883175938436607E-3</v>
      </c>
      <c r="C102" s="156">
        <f>SUM(C104/$C$285)</f>
        <v>7.0969535358451283E-3</v>
      </c>
      <c r="D102" s="156">
        <f>SUM(D104/$D$285)</f>
        <v>7.7217068413469384E-3</v>
      </c>
      <c r="E102" s="156">
        <f>SUM(E104/$E$285)</f>
        <v>1.0751758438814599E-2</v>
      </c>
      <c r="F102" s="156">
        <f>SUM(F104/$F$285)</f>
        <v>1.1971403405001123E-2</v>
      </c>
      <c r="G102" s="156">
        <f>SUM(G104/$G$285)</f>
        <v>8.975116873117148E-3</v>
      </c>
      <c r="H102" s="156">
        <f>SUM(H104/$H$285)</f>
        <v>9.4173674822514101E-3</v>
      </c>
      <c r="I102" s="156">
        <f>SUM(I104/$I$285)</f>
        <v>1.2900730522837519E-2</v>
      </c>
      <c r="J102" s="156">
        <f>SUM(J104/$J$285)</f>
        <v>4.4894060910663997E-3</v>
      </c>
    </row>
    <row r="103" spans="1:10" x14ac:dyDescent="0.5">
      <c r="A103" s="76" t="s">
        <v>16</v>
      </c>
      <c r="B103" s="157">
        <v>30000</v>
      </c>
      <c r="C103" s="157">
        <v>40789</v>
      </c>
      <c r="D103" s="157">
        <v>40903</v>
      </c>
      <c r="E103" s="157">
        <v>133000</v>
      </c>
      <c r="F103" s="157">
        <v>195801</v>
      </c>
      <c r="G103" s="157">
        <v>250285</v>
      </c>
      <c r="H103" s="157">
        <v>526365</v>
      </c>
      <c r="I103" s="157">
        <v>212088</v>
      </c>
      <c r="J103" s="157">
        <v>107967</v>
      </c>
    </row>
    <row r="104" spans="1:10" x14ac:dyDescent="0.5">
      <c r="A104" s="76" t="s">
        <v>15</v>
      </c>
      <c r="B104" s="157">
        <v>12000</v>
      </c>
      <c r="C104" s="157">
        <v>16799</v>
      </c>
      <c r="D104" s="157">
        <v>27150</v>
      </c>
      <c r="E104" s="157">
        <v>71500</v>
      </c>
      <c r="F104" s="157">
        <v>122225</v>
      </c>
      <c r="G104" s="157">
        <v>157500</v>
      </c>
      <c r="H104" s="157">
        <v>265628</v>
      </c>
      <c r="I104" s="157">
        <v>102000</v>
      </c>
      <c r="J104" s="157">
        <v>49450</v>
      </c>
    </row>
    <row r="105" spans="1:10" x14ac:dyDescent="0.5">
      <c r="A105" s="76" t="s">
        <v>14</v>
      </c>
      <c r="B105" s="157">
        <v>8000</v>
      </c>
      <c r="C105" s="157">
        <v>7125</v>
      </c>
      <c r="D105" s="157">
        <v>16796</v>
      </c>
      <c r="E105" s="157">
        <v>42605</v>
      </c>
      <c r="F105" s="157">
        <v>43689</v>
      </c>
      <c r="G105" s="157">
        <v>110800</v>
      </c>
      <c r="H105" s="157">
        <v>161183</v>
      </c>
      <c r="I105" s="157">
        <v>37338</v>
      </c>
      <c r="J105" s="157">
        <v>27842</v>
      </c>
    </row>
    <row r="106" spans="1:10" x14ac:dyDescent="0.5">
      <c r="A106" s="77" t="s">
        <v>58</v>
      </c>
      <c r="B106" s="156">
        <f>SUM(B108/$B$285)</f>
        <v>2.5992330943977859E-3</v>
      </c>
      <c r="C106" s="156">
        <f>SUM(C108/$C$285)</f>
        <v>0</v>
      </c>
      <c r="D106" s="156">
        <f>SUM(D108/$D$285)</f>
        <v>4.2661363764347725E-3</v>
      </c>
      <c r="E106" s="156">
        <f>SUM(E108/$E$285)</f>
        <v>1.369157490704992E-3</v>
      </c>
      <c r="F106" s="156">
        <f>SUM(F108/$F$285)</f>
        <v>1.7630211600738002E-3</v>
      </c>
      <c r="G106" s="156">
        <f>SUM(G108/$G$285)</f>
        <v>1.424621725891611E-3</v>
      </c>
      <c r="H106" s="156">
        <f>SUM(H108/$H$285)</f>
        <v>1.350625806028919E-3</v>
      </c>
      <c r="I106" s="156">
        <f>SUM(I108/$I$285)</f>
        <v>2.2765995040301503E-3</v>
      </c>
      <c r="J106" s="156">
        <f>SUM(J108/$J$285)</f>
        <v>0</v>
      </c>
    </row>
    <row r="107" spans="1:10" x14ac:dyDescent="0.5">
      <c r="A107" s="76" t="s">
        <v>16</v>
      </c>
      <c r="B107" s="157">
        <v>3253</v>
      </c>
      <c r="C107" s="157">
        <v>0</v>
      </c>
      <c r="D107" s="157">
        <v>15000</v>
      </c>
      <c r="E107" s="157">
        <v>18000</v>
      </c>
      <c r="F107" s="157">
        <v>44680</v>
      </c>
      <c r="G107" s="157">
        <v>25128</v>
      </c>
      <c r="H107" s="157">
        <v>40000</v>
      </c>
      <c r="I107" s="157">
        <v>38096</v>
      </c>
      <c r="J107" s="157">
        <v>0</v>
      </c>
    </row>
    <row r="108" spans="1:10" x14ac:dyDescent="0.5">
      <c r="A108" s="76" t="s">
        <v>15</v>
      </c>
      <c r="B108" s="157">
        <v>3253</v>
      </c>
      <c r="C108" s="157">
        <v>0</v>
      </c>
      <c r="D108" s="157">
        <v>15000</v>
      </c>
      <c r="E108" s="157">
        <v>9105</v>
      </c>
      <c r="F108" s="157">
        <v>18000</v>
      </c>
      <c r="G108" s="157">
        <v>25000</v>
      </c>
      <c r="H108" s="157">
        <v>38096</v>
      </c>
      <c r="I108" s="157">
        <v>18000</v>
      </c>
      <c r="J108" s="157">
        <v>0</v>
      </c>
    </row>
    <row r="109" spans="1:10" x14ac:dyDescent="0.5">
      <c r="A109" s="76" t="s">
        <v>14</v>
      </c>
      <c r="B109" s="157">
        <v>3253</v>
      </c>
      <c r="C109" s="157">
        <v>0</v>
      </c>
      <c r="D109" s="157">
        <v>15000</v>
      </c>
      <c r="E109" s="157">
        <v>209</v>
      </c>
      <c r="F109" s="157">
        <v>15600</v>
      </c>
      <c r="G109" s="157">
        <v>21250</v>
      </c>
      <c r="H109" s="157">
        <v>6369</v>
      </c>
      <c r="I109" s="157">
        <v>6545</v>
      </c>
      <c r="J109" s="157">
        <v>0</v>
      </c>
    </row>
    <row r="110" spans="1:10" x14ac:dyDescent="0.5">
      <c r="A110" s="77" t="s">
        <v>59</v>
      </c>
      <c r="B110" s="156">
        <f>SUM(B112/$B$285)</f>
        <v>5.828898070590792E-2</v>
      </c>
      <c r="C110" s="156">
        <f>SUM(C112/$C$285)</f>
        <v>0.15240347568641766</v>
      </c>
      <c r="D110" s="156">
        <f>SUM(D112/$D$285)</f>
        <v>0</v>
      </c>
      <c r="E110" s="156">
        <f>SUM(E112/$E$285)</f>
        <v>3.1094837276271322E-2</v>
      </c>
      <c r="F110" s="156">
        <f>SUM(F112/$F$285)</f>
        <v>3.4968839090723798E-2</v>
      </c>
      <c r="G110" s="156">
        <f>SUM(G112/$G$285)</f>
        <v>8.0735592601039012E-3</v>
      </c>
      <c r="H110" s="156">
        <f>SUM(H112/$H$285)</f>
        <v>1.5450512554268242E-2</v>
      </c>
      <c r="I110" s="156">
        <f>SUM(I112/$I$285)</f>
        <v>3.0223123193502482E-2</v>
      </c>
      <c r="J110" s="156">
        <f>SUM(J112/$J$285)</f>
        <v>1.5905389284618359E-2</v>
      </c>
    </row>
    <row r="111" spans="1:10" x14ac:dyDescent="0.5">
      <c r="A111" s="76" t="s">
        <v>16</v>
      </c>
      <c r="B111" s="157">
        <v>89475</v>
      </c>
      <c r="C111" s="157">
        <v>360750</v>
      </c>
      <c r="D111" s="157">
        <v>0</v>
      </c>
      <c r="E111" s="157">
        <v>300877</v>
      </c>
      <c r="F111" s="157">
        <v>468494</v>
      </c>
      <c r="G111" s="157">
        <v>270072</v>
      </c>
      <c r="H111" s="157">
        <v>575476</v>
      </c>
      <c r="I111" s="157">
        <v>367291</v>
      </c>
      <c r="J111" s="157">
        <v>277440</v>
      </c>
    </row>
    <row r="112" spans="1:10" x14ac:dyDescent="0.5">
      <c r="A112" s="76" t="s">
        <v>15</v>
      </c>
      <c r="B112" s="157">
        <v>72950</v>
      </c>
      <c r="C112" s="157">
        <v>360750</v>
      </c>
      <c r="D112" s="157">
        <v>0</v>
      </c>
      <c r="E112" s="157">
        <v>206783</v>
      </c>
      <c r="F112" s="157">
        <v>357023</v>
      </c>
      <c r="G112" s="157">
        <v>141679</v>
      </c>
      <c r="H112" s="157">
        <v>435800</v>
      </c>
      <c r="I112" s="157">
        <v>238960</v>
      </c>
      <c r="J112" s="157">
        <v>175195</v>
      </c>
    </row>
    <row r="113" spans="1:10" x14ac:dyDescent="0.5">
      <c r="A113" s="76" t="s">
        <v>14</v>
      </c>
      <c r="B113" s="157">
        <v>40475</v>
      </c>
      <c r="C113" s="157">
        <v>360750</v>
      </c>
      <c r="D113" s="157">
        <v>0</v>
      </c>
      <c r="E113" s="157">
        <v>178734</v>
      </c>
      <c r="F113" s="157">
        <v>218512</v>
      </c>
      <c r="G113" s="157">
        <v>13285</v>
      </c>
      <c r="H113" s="157">
        <v>377294</v>
      </c>
      <c r="I113" s="157">
        <v>93337</v>
      </c>
      <c r="J113" s="157">
        <v>72950</v>
      </c>
    </row>
    <row r="114" spans="1:10" x14ac:dyDescent="0.5">
      <c r="A114" s="77" t="s">
        <v>60</v>
      </c>
      <c r="B114" s="156">
        <f>SUM(B116/$B$285)</f>
        <v>7.69062973672877E-3</v>
      </c>
      <c r="C114" s="156">
        <f>SUM(C116/$C$285)</f>
        <v>9.3355842154357795E-3</v>
      </c>
      <c r="D114" s="156">
        <f>SUM(D116/$D$285)</f>
        <v>1.1376363670492728E-2</v>
      </c>
      <c r="E114" s="156">
        <f>SUM(E116/$E$285)</f>
        <v>5.8384303936421774E-3</v>
      </c>
      <c r="F114" s="156">
        <f>SUM(F116/$F$285)</f>
        <v>5.2522359270998588E-3</v>
      </c>
      <c r="G114" s="156">
        <f>SUM(G116/$G$285)</f>
        <v>4.2760306026981883E-3</v>
      </c>
      <c r="H114" s="156">
        <f>SUM(H116/$H$285)</f>
        <v>4.7385353509712619E-3</v>
      </c>
      <c r="I114" s="156">
        <f>SUM(I116/$I$285)</f>
        <v>5.615612109941037E-3</v>
      </c>
      <c r="J114" s="156">
        <f>SUM(J116/$J$285)</f>
        <v>6.4797245892352301E-3</v>
      </c>
    </row>
    <row r="115" spans="1:10" x14ac:dyDescent="0.5">
      <c r="A115" s="76" t="s">
        <v>16</v>
      </c>
      <c r="B115" s="157">
        <v>20574</v>
      </c>
      <c r="C115" s="157">
        <v>31858</v>
      </c>
      <c r="D115" s="157">
        <v>72612</v>
      </c>
      <c r="E115" s="157">
        <v>61117</v>
      </c>
      <c r="F115" s="157">
        <v>104889</v>
      </c>
      <c r="G115" s="157">
        <v>111586</v>
      </c>
      <c r="H115" s="157">
        <v>212544</v>
      </c>
      <c r="I115" s="157">
        <v>97691</v>
      </c>
      <c r="J115" s="157">
        <v>166597</v>
      </c>
    </row>
    <row r="116" spans="1:10" x14ac:dyDescent="0.5">
      <c r="A116" s="76" t="s">
        <v>15</v>
      </c>
      <c r="B116" s="157">
        <v>9625</v>
      </c>
      <c r="C116" s="157">
        <v>22098</v>
      </c>
      <c r="D116" s="157">
        <v>40000</v>
      </c>
      <c r="E116" s="157">
        <v>38826</v>
      </c>
      <c r="F116" s="157">
        <v>53624</v>
      </c>
      <c r="G116" s="157">
        <v>75038</v>
      </c>
      <c r="H116" s="157">
        <v>133656</v>
      </c>
      <c r="I116" s="157">
        <v>44400</v>
      </c>
      <c r="J116" s="157">
        <v>71373</v>
      </c>
    </row>
    <row r="117" spans="1:10" x14ac:dyDescent="0.5">
      <c r="A117" s="76" t="s">
        <v>14</v>
      </c>
      <c r="B117" s="157">
        <v>5440</v>
      </c>
      <c r="C117" s="157">
        <v>12352</v>
      </c>
      <c r="D117" s="157">
        <v>24370</v>
      </c>
      <c r="E117" s="157">
        <v>19441</v>
      </c>
      <c r="F117" s="157">
        <v>33792</v>
      </c>
      <c r="G117" s="157">
        <v>31827</v>
      </c>
      <c r="H117" s="157">
        <v>52722</v>
      </c>
      <c r="I117" s="157">
        <v>24087</v>
      </c>
      <c r="J117" s="157">
        <v>31781</v>
      </c>
    </row>
    <row r="118" spans="1:10" x14ac:dyDescent="0.5">
      <c r="A118" s="77" t="s">
        <v>61</v>
      </c>
      <c r="B118" s="156">
        <f>SUM(B120/$B$285)</f>
        <v>3.4394094235583365E-2</v>
      </c>
      <c r="C118" s="156">
        <f>SUM(C120/$C$285)</f>
        <v>1.2638398831974693E-2</v>
      </c>
      <c r="D118" s="156">
        <f>SUM(D120/$D$285)</f>
        <v>2.0883306380831738E-2</v>
      </c>
      <c r="E118" s="156">
        <f>SUM(E120/$E$285)</f>
        <v>1.0198681969752221E-2</v>
      </c>
      <c r="F118" s="156">
        <f>SUM(F120/$F$285)</f>
        <v>9.4755531160566463E-3</v>
      </c>
      <c r="G118" s="156">
        <f>SUM(G120/$G$285)</f>
        <v>1.9636473005868644E-2</v>
      </c>
      <c r="H118" s="156">
        <f>SUM(H120/$H$285)</f>
        <v>1.9780626829917866E-2</v>
      </c>
      <c r="I118" s="156">
        <f>SUM(I120/$I$285)</f>
        <v>1.7651361298997321E-2</v>
      </c>
      <c r="J118" s="156">
        <f>SUM(J120/$J$285)</f>
        <v>2.985532219319063E-2</v>
      </c>
    </row>
    <row r="119" spans="1:10" x14ac:dyDescent="0.5">
      <c r="A119" s="76" t="s">
        <v>16</v>
      </c>
      <c r="B119" s="157">
        <v>79890</v>
      </c>
      <c r="C119" s="157">
        <v>52875</v>
      </c>
      <c r="D119" s="157">
        <v>242624</v>
      </c>
      <c r="E119" s="157">
        <v>122097</v>
      </c>
      <c r="F119" s="157">
        <v>210427</v>
      </c>
      <c r="G119" s="157">
        <v>606687</v>
      </c>
      <c r="H119" s="157">
        <v>903910</v>
      </c>
      <c r="I119" s="157">
        <v>480012</v>
      </c>
      <c r="J119" s="157">
        <v>925711</v>
      </c>
    </row>
    <row r="120" spans="1:10" x14ac:dyDescent="0.5">
      <c r="A120" s="76" t="s">
        <v>15</v>
      </c>
      <c r="B120" s="157">
        <v>43045</v>
      </c>
      <c r="C120" s="157">
        <v>29916</v>
      </c>
      <c r="D120" s="157">
        <v>73427</v>
      </c>
      <c r="E120" s="157">
        <v>67822</v>
      </c>
      <c r="F120" s="157">
        <v>96743</v>
      </c>
      <c r="G120" s="157">
        <v>344591</v>
      </c>
      <c r="H120" s="157">
        <v>557936</v>
      </c>
      <c r="I120" s="157">
        <v>139561</v>
      </c>
      <c r="J120" s="157">
        <v>328851</v>
      </c>
    </row>
    <row r="121" spans="1:10" x14ac:dyDescent="0.5">
      <c r="A121" s="76" t="s">
        <v>14</v>
      </c>
      <c r="B121" s="157">
        <v>23290</v>
      </c>
      <c r="C121" s="157">
        <v>14475</v>
      </c>
      <c r="D121" s="157">
        <v>35831</v>
      </c>
      <c r="E121" s="157">
        <v>49672</v>
      </c>
      <c r="F121" s="157">
        <v>38376</v>
      </c>
      <c r="G121" s="157">
        <v>166722</v>
      </c>
      <c r="H121" s="157">
        <v>314503</v>
      </c>
      <c r="I121" s="157">
        <v>52201</v>
      </c>
      <c r="J121" s="157">
        <v>124121</v>
      </c>
    </row>
    <row r="122" spans="1:10" x14ac:dyDescent="0.5">
      <c r="A122" s="135" t="s">
        <v>62</v>
      </c>
      <c r="B122" s="156">
        <f>SUM(B82,B86,B90,B94,B98,B102,B106,B110,B114,B118)</f>
        <v>0.50621602639344221</v>
      </c>
      <c r="C122" s="156">
        <f t="shared" ref="C122:I122" si="24">SUM(C82,C86,C90,C94,C98,C102,C106,C110,C114,C118)</f>
        <v>0.5711752747698422</v>
      </c>
      <c r="D122" s="156">
        <f t="shared" si="24"/>
        <v>0.40959601963787901</v>
      </c>
      <c r="E122" s="156">
        <f t="shared" si="24"/>
        <v>0.38956568159005722</v>
      </c>
      <c r="F122" s="156">
        <f t="shared" si="24"/>
        <v>0.39117472744427456</v>
      </c>
      <c r="G122" s="156">
        <f t="shared" si="24"/>
        <v>0.34014393694099976</v>
      </c>
      <c r="H122" s="156">
        <f t="shared" si="24"/>
        <v>0.35083841897932733</v>
      </c>
      <c r="I122" s="156">
        <f t="shared" si="24"/>
        <v>0.41802161226500278</v>
      </c>
      <c r="J122" s="156">
        <f t="shared" ref="J122" si="25">SUM(J82,J86,J90,J94,J98,J102,J106,J110,J114,J118)</f>
        <v>0.35669570633019881</v>
      </c>
    </row>
    <row r="123" spans="1:10" x14ac:dyDescent="0.5">
      <c r="A123" s="76" t="s">
        <v>16</v>
      </c>
      <c r="B123" s="158">
        <f>SUM(B83,B87,B91,B95,B99,B103,B107,B111,B115,B119)</f>
        <v>883495</v>
      </c>
      <c r="C123" s="158">
        <f t="shared" ref="C123:H123" si="26">SUM(C83,C87,C91,C95,C99,C103,C107,C111,C115,C119)</f>
        <v>1916202</v>
      </c>
      <c r="D123" s="158">
        <f t="shared" si="26"/>
        <v>2380364</v>
      </c>
      <c r="E123" s="158">
        <f t="shared" si="26"/>
        <v>3641390</v>
      </c>
      <c r="F123" s="158">
        <f t="shared" si="26"/>
        <v>5228796</v>
      </c>
      <c r="G123" s="158">
        <f t="shared" si="26"/>
        <v>7449462</v>
      </c>
      <c r="H123" s="158">
        <f t="shared" si="26"/>
        <v>13326599</v>
      </c>
      <c r="I123" s="157">
        <v>735383</v>
      </c>
      <c r="J123" s="157">
        <v>735383</v>
      </c>
    </row>
    <row r="124" spans="1:10" x14ac:dyDescent="0.5">
      <c r="A124" s="76" t="s">
        <v>15</v>
      </c>
      <c r="B124" s="158">
        <f>SUM(B84,B88,B92,B96,B100,B104,B108,B112,B116,B120)</f>
        <v>633541</v>
      </c>
      <c r="C124" s="158">
        <f t="shared" ref="C124:H124" si="27">SUM(C84,C88,C92,C96,C100,C104,C108,C112,C116,C120)</f>
        <v>1352013</v>
      </c>
      <c r="D124" s="158">
        <f t="shared" si="27"/>
        <v>1440165</v>
      </c>
      <c r="E124" s="158">
        <f t="shared" si="27"/>
        <v>2590641</v>
      </c>
      <c r="F124" s="158">
        <f t="shared" si="27"/>
        <v>3993795</v>
      </c>
      <c r="G124" s="158">
        <f t="shared" si="27"/>
        <v>5969022</v>
      </c>
      <c r="H124" s="158">
        <f t="shared" si="27"/>
        <v>9895813</v>
      </c>
      <c r="I124" s="157">
        <v>349729</v>
      </c>
      <c r="J124" s="157">
        <v>349729</v>
      </c>
    </row>
    <row r="125" spans="1:10" x14ac:dyDescent="0.5">
      <c r="A125" s="76" t="s">
        <v>14</v>
      </c>
      <c r="B125" s="158">
        <f>SUM(B85,B89,B93,B97,B101,B105,B109,B113,B117,B121)</f>
        <v>502016</v>
      </c>
      <c r="C125" s="158">
        <f t="shared" ref="C125:H125" si="28">SUM(C85,C89,C93,C97,C101,C105,C109,C113,C117,C121)</f>
        <v>1015025</v>
      </c>
      <c r="D125" s="158">
        <f t="shared" si="28"/>
        <v>1094344</v>
      </c>
      <c r="E125" s="158">
        <f t="shared" si="28"/>
        <v>1824551</v>
      </c>
      <c r="F125" s="158">
        <f t="shared" si="28"/>
        <v>2975983</v>
      </c>
      <c r="G125" s="158">
        <f t="shared" si="28"/>
        <v>4664043</v>
      </c>
      <c r="H125" s="158">
        <f t="shared" si="28"/>
        <v>7111870</v>
      </c>
      <c r="I125" s="157">
        <v>145000</v>
      </c>
      <c r="J125" s="157">
        <v>145000</v>
      </c>
    </row>
    <row r="126" spans="1:10" x14ac:dyDescent="0.5">
      <c r="A126" s="77" t="s">
        <v>63</v>
      </c>
      <c r="B126" s="156">
        <f>SUM(B128/$B$285)</f>
        <v>0.10814263900863189</v>
      </c>
      <c r="C126" s="156">
        <f>SUM(C128/$C$285)</f>
        <v>0.12082437712076355</v>
      </c>
      <c r="D126" s="156">
        <f>SUM(D128/$D$285)</f>
        <v>0.11642087084926261</v>
      </c>
      <c r="E126" s="156">
        <f>SUM(E128/$E$285)</f>
        <v>0.11570696571091303</v>
      </c>
      <c r="F126" s="156">
        <f>SUM(F128/$F$285)</f>
        <v>0.10681498767795128</v>
      </c>
      <c r="G126" s="156">
        <f>SUM(G128/$G$285)</f>
        <v>8.1725932640009824E-2</v>
      </c>
      <c r="H126" s="156">
        <f>SUM(H128/$H$285)</f>
        <v>7.6205629233646072E-2</v>
      </c>
      <c r="I126" s="156">
        <f>SUM(I128/$I$285)</f>
        <v>0.10786743462270233</v>
      </c>
      <c r="J126" s="156">
        <f>SUM(J128/$J$285)</f>
        <v>0.10185277653198145</v>
      </c>
    </row>
    <row r="127" spans="1:10" x14ac:dyDescent="0.5">
      <c r="A127" s="76" t="s">
        <v>16</v>
      </c>
      <c r="B127" s="157">
        <v>241701</v>
      </c>
      <c r="C127" s="157">
        <v>451521</v>
      </c>
      <c r="D127" s="157">
        <v>700151</v>
      </c>
      <c r="E127" s="157">
        <v>944469</v>
      </c>
      <c r="F127" s="157">
        <v>1301923</v>
      </c>
      <c r="G127" s="157">
        <v>1810593</v>
      </c>
      <c r="H127" s="157">
        <v>3009873</v>
      </c>
      <c r="I127" s="157">
        <v>1442532</v>
      </c>
      <c r="J127" s="157">
        <v>1753343</v>
      </c>
    </row>
    <row r="128" spans="1:10" x14ac:dyDescent="0.5">
      <c r="A128" s="76" t="s">
        <v>15</v>
      </c>
      <c r="B128" s="157">
        <v>135343</v>
      </c>
      <c r="C128" s="157">
        <v>286000</v>
      </c>
      <c r="D128" s="157">
        <v>409343</v>
      </c>
      <c r="E128" s="157">
        <v>769460</v>
      </c>
      <c r="F128" s="157">
        <v>1090554</v>
      </c>
      <c r="G128" s="157">
        <v>1434169</v>
      </c>
      <c r="H128" s="157">
        <v>2149470</v>
      </c>
      <c r="I128" s="157">
        <v>852857</v>
      </c>
      <c r="J128" s="157">
        <v>1121890</v>
      </c>
    </row>
    <row r="129" spans="1:10" x14ac:dyDescent="0.5">
      <c r="A129" s="76" t="s">
        <v>14</v>
      </c>
      <c r="B129" s="157">
        <v>74622</v>
      </c>
      <c r="C129" s="157">
        <v>161433</v>
      </c>
      <c r="D129" s="157">
        <v>252878</v>
      </c>
      <c r="E129" s="157">
        <v>479326</v>
      </c>
      <c r="F129" s="157">
        <v>765322</v>
      </c>
      <c r="G129" s="157">
        <v>1064486</v>
      </c>
      <c r="H129" s="157">
        <v>1720200</v>
      </c>
      <c r="I129" s="157">
        <v>361737</v>
      </c>
      <c r="J129" s="157">
        <v>798403</v>
      </c>
    </row>
    <row r="130" spans="1:10" x14ac:dyDescent="0.5">
      <c r="A130" s="77" t="s">
        <v>64</v>
      </c>
      <c r="B130" s="156">
        <f>SUM(B132/$B$285)</f>
        <v>1.4271411711970135E-2</v>
      </c>
      <c r="C130" s="156">
        <f>SUM(C132/$C$285)</f>
        <v>2.9169370428951888E-2</v>
      </c>
      <c r="D130" s="156">
        <f>SUM(D132/$D$285)</f>
        <v>4.3105041947496946E-2</v>
      </c>
      <c r="E130" s="156">
        <f>SUM(E132/$E$285)</f>
        <v>2.2129975977714537E-2</v>
      </c>
      <c r="F130" s="156">
        <f>SUM(F132/$F$285)</f>
        <v>3.7783600318401618E-2</v>
      </c>
      <c r="G130" s="156">
        <f>SUM(G132/$G$285)</f>
        <v>3.839771540821852E-2</v>
      </c>
      <c r="H130" s="156">
        <f>SUM(H132/$H$285)</f>
        <v>4.1838342967627243E-2</v>
      </c>
      <c r="I130" s="156">
        <f>SUM(I132/$I$285)</f>
        <v>4.2911497573714076E-2</v>
      </c>
      <c r="J130" s="156">
        <f>SUM(J132/$J$285)</f>
        <v>4.1372169495279998E-2</v>
      </c>
    </row>
    <row r="131" spans="1:10" x14ac:dyDescent="0.5">
      <c r="A131" s="76" t="s">
        <v>16</v>
      </c>
      <c r="B131" s="157">
        <v>33475</v>
      </c>
      <c r="C131" s="157">
        <v>147750</v>
      </c>
      <c r="D131" s="157">
        <v>351140</v>
      </c>
      <c r="E131" s="157">
        <v>294439</v>
      </c>
      <c r="F131" s="157">
        <v>646419</v>
      </c>
      <c r="G131" s="157">
        <v>853418</v>
      </c>
      <c r="H131" s="157">
        <v>1791816</v>
      </c>
      <c r="I131" s="157">
        <v>778687</v>
      </c>
      <c r="J131" s="157">
        <v>757192</v>
      </c>
    </row>
    <row r="132" spans="1:10" x14ac:dyDescent="0.5">
      <c r="A132" s="76" t="s">
        <v>15</v>
      </c>
      <c r="B132" s="157">
        <v>17861</v>
      </c>
      <c r="C132" s="157">
        <v>69046</v>
      </c>
      <c r="D132" s="157">
        <v>151560</v>
      </c>
      <c r="E132" s="157">
        <v>147166</v>
      </c>
      <c r="F132" s="157">
        <v>385761</v>
      </c>
      <c r="G132" s="157">
        <v>673823</v>
      </c>
      <c r="H132" s="157">
        <v>1180100</v>
      </c>
      <c r="I132" s="157">
        <v>339281</v>
      </c>
      <c r="J132" s="157">
        <v>455707</v>
      </c>
    </row>
    <row r="133" spans="1:10" x14ac:dyDescent="0.5">
      <c r="A133" s="76" t="s">
        <v>14</v>
      </c>
      <c r="B133" s="157">
        <v>12561</v>
      </c>
      <c r="C133" s="157">
        <v>55412</v>
      </c>
      <c r="D133" s="157">
        <v>69817</v>
      </c>
      <c r="E133" s="157">
        <v>92369</v>
      </c>
      <c r="F133" s="157">
        <v>281434</v>
      </c>
      <c r="G133" s="157">
        <v>391778</v>
      </c>
      <c r="H133" s="157">
        <v>724726</v>
      </c>
      <c r="I133" s="157">
        <v>108599</v>
      </c>
      <c r="J133" s="157">
        <v>251150</v>
      </c>
    </row>
    <row r="134" spans="1:10" x14ac:dyDescent="0.5">
      <c r="A134" s="135" t="s">
        <v>65</v>
      </c>
      <c r="B134" s="156">
        <f>SUM(B136/$B$285)</f>
        <v>0.10876747770516403</v>
      </c>
      <c r="C134" s="156">
        <f>SUM(C136/$C$285)</f>
        <v>0.13341588257560394</v>
      </c>
      <c r="D134" s="156">
        <f>SUM(D136/$D$285)</f>
        <v>0.13100565348392604</v>
      </c>
      <c r="E134" s="156">
        <f>SUM(E136/$E$285)</f>
        <v>0.11924196343650259</v>
      </c>
      <c r="F134" s="156">
        <f>SUM(F136/$F$285)</f>
        <v>0.13870020481408599</v>
      </c>
      <c r="G134" s="156">
        <f>SUM(G136/$G$285)</f>
        <v>0.11428834047410727</v>
      </c>
      <c r="H134" s="156">
        <f>SUM(H136/$H$285)</f>
        <v>0.12039062072345554</v>
      </c>
      <c r="I134" s="156">
        <f>SUM(I136/$I$285)</f>
        <v>0.12635886113868677</v>
      </c>
      <c r="J134" s="156">
        <f>SUM(J136/$J$285)</f>
        <v>0.14073067013351104</v>
      </c>
    </row>
    <row r="135" spans="1:10" x14ac:dyDescent="0.5">
      <c r="A135" s="76" t="s">
        <v>16</v>
      </c>
      <c r="B135" s="157">
        <v>241701</v>
      </c>
      <c r="C135" s="157">
        <v>465167</v>
      </c>
      <c r="D135" s="157">
        <v>843785</v>
      </c>
      <c r="E135" s="157">
        <v>1073714</v>
      </c>
      <c r="F135" s="157">
        <v>1823060</v>
      </c>
      <c r="G135" s="157">
        <v>2488628</v>
      </c>
      <c r="H135" s="157">
        <v>4234681</v>
      </c>
      <c r="I135" s="157">
        <v>2011898</v>
      </c>
      <c r="J135" s="157">
        <v>2193984</v>
      </c>
    </row>
    <row r="136" spans="1:10" x14ac:dyDescent="0.5">
      <c r="A136" s="76" t="s">
        <v>15</v>
      </c>
      <c r="B136" s="157">
        <v>136125</v>
      </c>
      <c r="C136" s="157">
        <v>315805</v>
      </c>
      <c r="D136" s="157">
        <v>460624</v>
      </c>
      <c r="E136" s="157">
        <v>792968</v>
      </c>
      <c r="F136" s="157">
        <v>1416094</v>
      </c>
      <c r="G136" s="157">
        <v>2005591</v>
      </c>
      <c r="H136" s="157">
        <v>3395760</v>
      </c>
      <c r="I136" s="157">
        <v>999060</v>
      </c>
      <c r="J136" s="157">
        <v>1550123</v>
      </c>
    </row>
    <row r="137" spans="1:10" x14ac:dyDescent="0.5">
      <c r="A137" s="76" t="s">
        <v>14</v>
      </c>
      <c r="B137" s="157">
        <v>100500</v>
      </c>
      <c r="C137" s="157">
        <v>185000</v>
      </c>
      <c r="D137" s="157">
        <v>306017</v>
      </c>
      <c r="E137" s="157">
        <v>610909</v>
      </c>
      <c r="F137" s="157">
        <v>953768</v>
      </c>
      <c r="G137" s="157">
        <v>1465330</v>
      </c>
      <c r="H137" s="157">
        <v>2491272</v>
      </c>
      <c r="I137" s="157">
        <v>411730</v>
      </c>
      <c r="J137" s="157">
        <v>1023133</v>
      </c>
    </row>
    <row r="138" spans="1:10" x14ac:dyDescent="0.5">
      <c r="A138" s="77" t="s">
        <v>66</v>
      </c>
      <c r="B138" s="156">
        <f>SUM(B140/$B$285)</f>
        <v>3.8094385800340864E-2</v>
      </c>
      <c r="C138" s="156">
        <f>SUM(C140/$C$285)</f>
        <v>1.4890970785848508E-2</v>
      </c>
      <c r="D138" s="156">
        <f>SUM(D140/$D$285)</f>
        <v>1.4438311952405846E-2</v>
      </c>
      <c r="E138" s="156">
        <f>SUM(E140/$E$285)</f>
        <v>6.997063942887862E-3</v>
      </c>
      <c r="F138" s="156">
        <f>SUM(F140/$F$285)</f>
        <v>5.0156972547899569E-3</v>
      </c>
      <c r="G138" s="156">
        <f>SUM(G140/$G$285)</f>
        <v>4.0680358307180128E-3</v>
      </c>
      <c r="H138" s="156">
        <f>SUM(H140/$H$285)</f>
        <v>3.8516021876621098E-3</v>
      </c>
      <c r="I138" s="156">
        <f>SUM(I140/$I$285)</f>
        <v>7.5031660542824799E-3</v>
      </c>
      <c r="J138" s="156">
        <f>SUM(J140/$J$285)</f>
        <v>6.7013351103331689E-3</v>
      </c>
    </row>
    <row r="139" spans="1:10" x14ac:dyDescent="0.5">
      <c r="A139" s="76" t="s">
        <v>16</v>
      </c>
      <c r="B139" s="157">
        <v>70391</v>
      </c>
      <c r="C139" s="157">
        <v>46086</v>
      </c>
      <c r="D139" s="157">
        <v>107040</v>
      </c>
      <c r="E139" s="157">
        <v>57407</v>
      </c>
      <c r="F139" s="157">
        <v>92966</v>
      </c>
      <c r="G139" s="157">
        <v>82946</v>
      </c>
      <c r="H139" s="157">
        <v>143466</v>
      </c>
      <c r="I139" s="157">
        <v>99289</v>
      </c>
      <c r="J139" s="157">
        <v>105851</v>
      </c>
    </row>
    <row r="140" spans="1:10" x14ac:dyDescent="0.5">
      <c r="A140" s="76" t="s">
        <v>15</v>
      </c>
      <c r="B140" s="157">
        <v>47676</v>
      </c>
      <c r="C140" s="157">
        <v>35248</v>
      </c>
      <c r="D140" s="157">
        <v>50766</v>
      </c>
      <c r="E140" s="157">
        <v>46531</v>
      </c>
      <c r="F140" s="157">
        <v>51209</v>
      </c>
      <c r="G140" s="157">
        <v>71388</v>
      </c>
      <c r="H140" s="157">
        <v>108639</v>
      </c>
      <c r="I140" s="157">
        <v>59324</v>
      </c>
      <c r="J140" s="157">
        <v>73814</v>
      </c>
    </row>
    <row r="141" spans="1:10" x14ac:dyDescent="0.5">
      <c r="A141" s="76" t="s">
        <v>14</v>
      </c>
      <c r="B141" s="157">
        <v>24960</v>
      </c>
      <c r="C141" s="157">
        <v>33800</v>
      </c>
      <c r="D141" s="157">
        <v>39505</v>
      </c>
      <c r="E141" s="157">
        <v>37600</v>
      </c>
      <c r="F141" s="157">
        <v>40847</v>
      </c>
      <c r="G141" s="157">
        <v>45533</v>
      </c>
      <c r="H141" s="157">
        <v>71808</v>
      </c>
      <c r="I141" s="157">
        <v>43500</v>
      </c>
      <c r="J141" s="157">
        <v>50520</v>
      </c>
    </row>
    <row r="142" spans="1:10" x14ac:dyDescent="0.5">
      <c r="A142" s="77" t="s">
        <v>67</v>
      </c>
      <c r="B142" s="156">
        <f>SUM(B144/$B$285)</f>
        <v>3.3159598345375997E-2</v>
      </c>
      <c r="C142" s="156">
        <f>SUM(C144/$C$285)</f>
        <v>1.9009138716524043E-2</v>
      </c>
      <c r="D142" s="156">
        <f>SUM(D144/$D$285)</f>
        <v>1.8800294192764518E-2</v>
      </c>
      <c r="E142" s="156">
        <f>SUM(E144/$E$285)</f>
        <v>1.9755265918053554E-2</v>
      </c>
      <c r="F142" s="156">
        <f>SUM(F144/$F$285)</f>
        <v>1.7615911540217404E-2</v>
      </c>
      <c r="G142" s="156">
        <f>SUM(G144/$G$285)</f>
        <v>1.6708419480209097E-2</v>
      </c>
      <c r="H142" s="156">
        <f>SUM(H144/$H$285)</f>
        <v>1.6840278713348818E-2</v>
      </c>
      <c r="I142" s="156">
        <f>SUM(I144/$I$285)</f>
        <v>2.0268059473379531E-2</v>
      </c>
      <c r="J142" s="156">
        <f>SUM(J144/$J$285)</f>
        <v>1.4071224041790968E-2</v>
      </c>
    </row>
    <row r="143" spans="1:10" x14ac:dyDescent="0.5">
      <c r="A143" s="76" t="s">
        <v>16</v>
      </c>
      <c r="B143" s="157">
        <v>72005</v>
      </c>
      <c r="C143" s="157">
        <v>74864</v>
      </c>
      <c r="D143" s="157">
        <v>106243</v>
      </c>
      <c r="E143" s="157">
        <v>180165</v>
      </c>
      <c r="F143" s="157">
        <v>235727</v>
      </c>
      <c r="G143" s="157">
        <v>377361</v>
      </c>
      <c r="H143" s="157">
        <v>753558</v>
      </c>
      <c r="I143" s="157">
        <v>303576</v>
      </c>
      <c r="J143" s="157">
        <v>280879</v>
      </c>
    </row>
    <row r="144" spans="1:10" x14ac:dyDescent="0.5">
      <c r="A144" s="76" t="s">
        <v>15</v>
      </c>
      <c r="B144" s="157">
        <v>41500</v>
      </c>
      <c r="C144" s="157">
        <v>44996</v>
      </c>
      <c r="D144" s="157">
        <v>66103</v>
      </c>
      <c r="E144" s="157">
        <v>131374</v>
      </c>
      <c r="F144" s="157">
        <v>179854</v>
      </c>
      <c r="G144" s="157">
        <v>293208</v>
      </c>
      <c r="H144" s="157">
        <v>475000</v>
      </c>
      <c r="I144" s="157">
        <v>160250</v>
      </c>
      <c r="J144" s="157">
        <v>154992</v>
      </c>
    </row>
    <row r="145" spans="1:10" x14ac:dyDescent="0.5">
      <c r="A145" s="76" t="s">
        <v>14</v>
      </c>
      <c r="B145" s="157">
        <v>32864</v>
      </c>
      <c r="C145" s="157">
        <v>31325</v>
      </c>
      <c r="D145" s="157">
        <v>33999</v>
      </c>
      <c r="E145" s="157">
        <v>70000</v>
      </c>
      <c r="F145" s="157">
        <v>131555</v>
      </c>
      <c r="G145" s="157">
        <v>199791</v>
      </c>
      <c r="H145" s="157">
        <v>265077</v>
      </c>
      <c r="I145" s="157">
        <v>69507</v>
      </c>
      <c r="J145" s="157">
        <v>105058</v>
      </c>
    </row>
    <row r="146" spans="1:10" x14ac:dyDescent="0.5">
      <c r="A146" s="77" t="s">
        <v>68</v>
      </c>
      <c r="B146" s="156">
        <f>SUM(B148/$B$285)</f>
        <v>1.6779555789226408E-2</v>
      </c>
      <c r="C146" s="156">
        <f>SUM(C148/$C$285)</f>
        <v>1.3413195711833015E-2</v>
      </c>
      <c r="D146" s="156">
        <f>SUM(D148/$D$285)</f>
        <v>1.3118084948445165E-2</v>
      </c>
      <c r="E146" s="156">
        <f>SUM(E148/$E$285)</f>
        <v>1.015026146321658E-2</v>
      </c>
      <c r="F146" s="156">
        <f>SUM(F148/$F$285)</f>
        <v>9.7945620004099999E-3</v>
      </c>
      <c r="G146" s="156">
        <f>SUM(G148/$G$285)</f>
        <v>5.5553409125488548E-3</v>
      </c>
      <c r="H146" s="156">
        <f>SUM(H148/$H$285)</f>
        <v>1.517305566750894E-2</v>
      </c>
      <c r="I146" s="156">
        <f>SUM(I148/$I$285)</f>
        <v>8.5372481401130643E-3</v>
      </c>
      <c r="J146" s="156">
        <f>SUM(J148/$J$285)</f>
        <v>1.6102941309980554E-2</v>
      </c>
    </row>
    <row r="147" spans="1:10" x14ac:dyDescent="0.5">
      <c r="A147" s="76" t="s">
        <v>16</v>
      </c>
      <c r="B147" s="157">
        <v>32000</v>
      </c>
      <c r="C147" s="157">
        <v>32750</v>
      </c>
      <c r="D147" s="157">
        <v>70000</v>
      </c>
      <c r="E147" s="157">
        <v>99940</v>
      </c>
      <c r="F147" s="157">
        <v>128274</v>
      </c>
      <c r="G147" s="157">
        <v>212523</v>
      </c>
      <c r="H147" s="157">
        <v>637824</v>
      </c>
      <c r="I147" s="157">
        <v>123443</v>
      </c>
      <c r="J147" s="157">
        <v>177371</v>
      </c>
    </row>
    <row r="148" spans="1:10" x14ac:dyDescent="0.5">
      <c r="A148" s="76" t="s">
        <v>15</v>
      </c>
      <c r="B148" s="157">
        <v>21000</v>
      </c>
      <c r="C148" s="157">
        <v>31750</v>
      </c>
      <c r="D148" s="157">
        <v>46124</v>
      </c>
      <c r="E148" s="157">
        <v>67500</v>
      </c>
      <c r="F148" s="157">
        <v>100000</v>
      </c>
      <c r="G148" s="157">
        <v>97488</v>
      </c>
      <c r="H148" s="157">
        <v>427974</v>
      </c>
      <c r="I148" s="157">
        <v>67500</v>
      </c>
      <c r="J148" s="157">
        <v>177371</v>
      </c>
    </row>
    <row r="149" spans="1:10" x14ac:dyDescent="0.5">
      <c r="A149" s="76" t="s">
        <v>14</v>
      </c>
      <c r="B149" s="157">
        <v>10000</v>
      </c>
      <c r="C149" s="157">
        <v>24375</v>
      </c>
      <c r="D149" s="157">
        <v>43417</v>
      </c>
      <c r="E149" s="157">
        <v>33762</v>
      </c>
      <c r="F149" s="157">
        <v>34886</v>
      </c>
      <c r="G149" s="157">
        <v>31214</v>
      </c>
      <c r="H149" s="157">
        <v>53995</v>
      </c>
      <c r="I149" s="157">
        <v>27115</v>
      </c>
      <c r="J149" s="157">
        <v>177371</v>
      </c>
    </row>
    <row r="150" spans="1:10" x14ac:dyDescent="0.5">
      <c r="A150" s="77" t="s">
        <v>69</v>
      </c>
      <c r="B150" s="156">
        <f>SUM(B152/$B$285)</f>
        <v>2.5369090300378018E-2</v>
      </c>
      <c r="C150" s="156">
        <f>SUM(C152/$C$285)</f>
        <v>1.3307579997566614E-2</v>
      </c>
      <c r="D150" s="156">
        <f>SUM(D152/$D$285)</f>
        <v>1.5914395138652275E-2</v>
      </c>
      <c r="E150" s="156">
        <f>SUM(E152/$E$285)</f>
        <v>1.7668973658191825E-2</v>
      </c>
      <c r="F150" s="156">
        <f>SUM(F152/$F$285)</f>
        <v>2.143912087145744E-2</v>
      </c>
      <c r="G150" s="156">
        <f>SUM(G152/$G$285)</f>
        <v>1.7919120007740826E-2</v>
      </c>
      <c r="H150" s="156">
        <f>SUM(H152/$H$285)</f>
        <v>2.3936346724533882E-2</v>
      </c>
      <c r="I150" s="156">
        <f>SUM(I152/$I$285)</f>
        <v>1.9157078915412819E-2</v>
      </c>
      <c r="J150" s="156">
        <f>SUM(J152/$J$285)</f>
        <v>1.5359851545463293E-2</v>
      </c>
    </row>
    <row r="151" spans="1:10" x14ac:dyDescent="0.5">
      <c r="A151" s="76" t="s">
        <v>16</v>
      </c>
      <c r="B151" s="157">
        <v>39735</v>
      </c>
      <c r="C151" s="157">
        <v>73777</v>
      </c>
      <c r="D151" s="157">
        <v>83867</v>
      </c>
      <c r="E151" s="157">
        <v>209069</v>
      </c>
      <c r="F151" s="157">
        <v>307131</v>
      </c>
      <c r="G151" s="157">
        <v>389948</v>
      </c>
      <c r="H151" s="157">
        <v>1081086</v>
      </c>
      <c r="I151" s="157">
        <v>348602</v>
      </c>
      <c r="J151" s="157">
        <v>365022</v>
      </c>
    </row>
    <row r="152" spans="1:10" x14ac:dyDescent="0.5">
      <c r="A152" s="76" t="s">
        <v>15</v>
      </c>
      <c r="B152" s="157">
        <v>31750</v>
      </c>
      <c r="C152" s="157">
        <v>31500</v>
      </c>
      <c r="D152" s="157">
        <v>55956</v>
      </c>
      <c r="E152" s="157">
        <v>117500</v>
      </c>
      <c r="F152" s="157">
        <v>218888</v>
      </c>
      <c r="G152" s="157">
        <v>314454</v>
      </c>
      <c r="H152" s="157">
        <v>675153</v>
      </c>
      <c r="I152" s="157">
        <v>151466</v>
      </c>
      <c r="J152" s="157">
        <v>169186</v>
      </c>
    </row>
    <row r="153" spans="1:10" x14ac:dyDescent="0.5">
      <c r="A153" s="76" t="s">
        <v>14</v>
      </c>
      <c r="B153" s="157">
        <v>20631</v>
      </c>
      <c r="C153" s="157">
        <v>15000</v>
      </c>
      <c r="D153" s="157">
        <v>35288</v>
      </c>
      <c r="E153" s="157">
        <v>72213</v>
      </c>
      <c r="F153" s="157">
        <v>99376</v>
      </c>
      <c r="G153" s="157">
        <v>180090</v>
      </c>
      <c r="H153" s="157">
        <v>420156</v>
      </c>
      <c r="I153" s="157">
        <v>60000</v>
      </c>
      <c r="J153" s="157">
        <v>69590</v>
      </c>
    </row>
    <row r="154" spans="1:10" x14ac:dyDescent="0.5">
      <c r="A154" s="77" t="s">
        <v>70</v>
      </c>
      <c r="B154" s="156">
        <f>SUM(B156/$B$285)</f>
        <v>1.5252616212406804E-2</v>
      </c>
      <c r="C154" s="156">
        <f>SUM(C156/$C$285)</f>
        <v>1.2272545997755877E-2</v>
      </c>
      <c r="D154" s="156">
        <f>SUM(D156/$D$285)</f>
        <v>1.0618982259129673E-2</v>
      </c>
      <c r="E154" s="156">
        <f>SUM(E156/$E$285)</f>
        <v>7.360368116149066E-3</v>
      </c>
      <c r="F154" s="156">
        <f>SUM(F156/$F$285)</f>
        <v>5.4627210644886699E-3</v>
      </c>
      <c r="G154" s="156">
        <f>SUM(G156/$G$285)</f>
        <v>6.2180749394336321E-3</v>
      </c>
      <c r="H154" s="156">
        <f>SUM(H156/$H$285)</f>
        <v>7.0501560934297242E-3</v>
      </c>
      <c r="I154" s="156">
        <f>SUM(I156/$I$285)</f>
        <v>7.7387941029496005E-3</v>
      </c>
      <c r="J154" s="156">
        <f>SUM(J156/$J$285)</f>
        <v>6.624983431413314E-3</v>
      </c>
    </row>
    <row r="155" spans="1:10" x14ac:dyDescent="0.5">
      <c r="A155" s="76" t="s">
        <v>16</v>
      </c>
      <c r="B155" s="157">
        <v>33771</v>
      </c>
      <c r="C155" s="157">
        <v>34730</v>
      </c>
      <c r="D155" s="157">
        <v>45000</v>
      </c>
      <c r="E155" s="157">
        <v>77835</v>
      </c>
      <c r="F155" s="157">
        <v>92723</v>
      </c>
      <c r="G155" s="157">
        <v>142063</v>
      </c>
      <c r="H155" s="157">
        <v>266724</v>
      </c>
      <c r="I155" s="157">
        <v>129340</v>
      </c>
      <c r="J155" s="157">
        <v>147527</v>
      </c>
    </row>
    <row r="156" spans="1:10" x14ac:dyDescent="0.5">
      <c r="A156" s="76" t="s">
        <v>15</v>
      </c>
      <c r="B156" s="157">
        <v>19089</v>
      </c>
      <c r="C156" s="157">
        <v>29050</v>
      </c>
      <c r="D156" s="157">
        <v>37337</v>
      </c>
      <c r="E156" s="157">
        <v>48947</v>
      </c>
      <c r="F156" s="157">
        <v>55773</v>
      </c>
      <c r="G156" s="157">
        <v>109118</v>
      </c>
      <c r="H156" s="157">
        <v>198858</v>
      </c>
      <c r="I156" s="157">
        <v>61187</v>
      </c>
      <c r="J156" s="157">
        <v>72973</v>
      </c>
    </row>
    <row r="157" spans="1:10" x14ac:dyDescent="0.5">
      <c r="A157" s="76" t="s">
        <v>14</v>
      </c>
      <c r="B157" s="157">
        <v>5070</v>
      </c>
      <c r="C157" s="157">
        <v>9660</v>
      </c>
      <c r="D157" s="157">
        <v>30000</v>
      </c>
      <c r="E157" s="157">
        <v>37911</v>
      </c>
      <c r="F157" s="157">
        <v>39260</v>
      </c>
      <c r="G157" s="157">
        <v>73471</v>
      </c>
      <c r="H157" s="157">
        <v>129226</v>
      </c>
      <c r="I157" s="157">
        <v>38465</v>
      </c>
      <c r="J157" s="157">
        <v>52910</v>
      </c>
    </row>
    <row r="158" spans="1:10" x14ac:dyDescent="0.5">
      <c r="A158" s="77" t="s">
        <v>71</v>
      </c>
      <c r="B158" s="156">
        <f>SUM(B160/$B$285)</f>
        <v>3.3159598345375997E-2</v>
      </c>
      <c r="C158" s="156">
        <f>SUM(C160/$C$285)</f>
        <v>1.7339565505400764E-2</v>
      </c>
      <c r="D158" s="156">
        <f>SUM(D160/$D$285)</f>
        <v>1.2626626037879878E-2</v>
      </c>
      <c r="E158" s="156">
        <f>SUM(E160/$E$285)</f>
        <v>1.0395070732284975E-2</v>
      </c>
      <c r="F158" s="156">
        <f>SUM(F160/$F$285)</f>
        <v>1.3889668372781421E-2</v>
      </c>
      <c r="G158" s="156">
        <f>SUM(G160/$G$285)</f>
        <v>9.2418060602040587E-3</v>
      </c>
      <c r="H158" s="156">
        <f>SUM(H160/$H$285)</f>
        <v>1.155572834666327E-2</v>
      </c>
      <c r="I158" s="156">
        <f>SUM(I160/$I$285)</f>
        <v>1.5615448953643248E-2</v>
      </c>
      <c r="J158" s="156">
        <f>SUM(J160/$J$285)</f>
        <v>1.2014268049772943E-2</v>
      </c>
    </row>
    <row r="159" spans="1:10" x14ac:dyDescent="0.5">
      <c r="A159" s="76" t="s">
        <v>16</v>
      </c>
      <c r="B159" s="157">
        <v>59288</v>
      </c>
      <c r="C159" s="157">
        <v>50938</v>
      </c>
      <c r="D159" s="157">
        <v>74175</v>
      </c>
      <c r="E159" s="157">
        <v>122162</v>
      </c>
      <c r="F159" s="157">
        <v>201176</v>
      </c>
      <c r="G159" s="157">
        <v>226100</v>
      </c>
      <c r="H159" s="157">
        <v>515377</v>
      </c>
      <c r="I159" s="157">
        <v>224455</v>
      </c>
      <c r="J159" s="157">
        <v>178091</v>
      </c>
    </row>
    <row r="160" spans="1:10" x14ac:dyDescent="0.5">
      <c r="A160" s="76" t="s">
        <v>15</v>
      </c>
      <c r="B160" s="157">
        <v>41500</v>
      </c>
      <c r="C160" s="157">
        <v>41044</v>
      </c>
      <c r="D160" s="157">
        <v>44396</v>
      </c>
      <c r="E160" s="157">
        <v>69128</v>
      </c>
      <c r="F160" s="157">
        <v>141810</v>
      </c>
      <c r="G160" s="157">
        <v>162180</v>
      </c>
      <c r="H160" s="157">
        <v>325943</v>
      </c>
      <c r="I160" s="157">
        <v>123464</v>
      </c>
      <c r="J160" s="157">
        <v>132335</v>
      </c>
    </row>
    <row r="161" spans="1:10" x14ac:dyDescent="0.5">
      <c r="A161" s="76" t="s">
        <v>14</v>
      </c>
      <c r="B161" s="157">
        <v>23817</v>
      </c>
      <c r="C161" s="157">
        <v>34719</v>
      </c>
      <c r="D161" s="157">
        <v>27750</v>
      </c>
      <c r="E161" s="157">
        <v>45365</v>
      </c>
      <c r="F161" s="157">
        <v>74369</v>
      </c>
      <c r="G161" s="157">
        <v>122323</v>
      </c>
      <c r="H161" s="157">
        <v>216264</v>
      </c>
      <c r="I161" s="157">
        <v>54059</v>
      </c>
      <c r="J161" s="157">
        <v>71879</v>
      </c>
    </row>
    <row r="162" spans="1:10" x14ac:dyDescent="0.5">
      <c r="A162" s="77" t="s">
        <v>72</v>
      </c>
      <c r="B162" s="156">
        <f>SUM(B164/$B$285)</f>
        <v>3.4358138044606454E-2</v>
      </c>
      <c r="C162" s="156">
        <f>SUM(C164/$C$285)</f>
        <v>1.6898514282624271E-2</v>
      </c>
      <c r="D162" s="156">
        <f>SUM(D164/$D$285)</f>
        <v>1.4789272771640546E-2</v>
      </c>
      <c r="E162" s="156">
        <f>SUM(E164/$E$285)</f>
        <v>8.5450164095893649E-3</v>
      </c>
      <c r="F162" s="156">
        <f>SUM(F164/$F$285)</f>
        <v>6.5609853015946426E-3</v>
      </c>
      <c r="G162" s="156">
        <f>SUM(G164/$G$285)</f>
        <v>3.2817016228948791E-3</v>
      </c>
      <c r="H162" s="156">
        <f>SUM(H164/$H$285)</f>
        <v>4.8546091878291656E-3</v>
      </c>
      <c r="I162" s="156">
        <f>SUM(I164/$I$285)</f>
        <v>7.5557807983756206E-3</v>
      </c>
      <c r="J162" s="156">
        <f>SUM(J164/$J$285)</f>
        <v>6.1598827761143622E-3</v>
      </c>
    </row>
    <row r="163" spans="1:10" x14ac:dyDescent="0.5">
      <c r="A163" s="76" t="s">
        <v>16</v>
      </c>
      <c r="B163" s="157">
        <v>52880</v>
      </c>
      <c r="C163" s="157">
        <v>44680</v>
      </c>
      <c r="D163" s="157">
        <v>64625</v>
      </c>
      <c r="E163" s="157">
        <v>61657</v>
      </c>
      <c r="F163" s="157">
        <v>100575</v>
      </c>
      <c r="G163" s="157">
        <v>72274</v>
      </c>
      <c r="H163" s="157">
        <v>180624</v>
      </c>
      <c r="I163" s="157">
        <v>84550</v>
      </c>
      <c r="J163" s="157">
        <v>90849</v>
      </c>
    </row>
    <row r="164" spans="1:10" x14ac:dyDescent="0.5">
      <c r="A164" s="76" t="s">
        <v>15</v>
      </c>
      <c r="B164" s="157">
        <v>43000</v>
      </c>
      <c r="C164" s="157">
        <v>40000</v>
      </c>
      <c r="D164" s="157">
        <v>52000</v>
      </c>
      <c r="E164" s="157">
        <v>56825</v>
      </c>
      <c r="F164" s="157">
        <v>66986</v>
      </c>
      <c r="G164" s="157">
        <v>57589</v>
      </c>
      <c r="H164" s="157">
        <v>136930</v>
      </c>
      <c r="I164" s="157">
        <v>59740</v>
      </c>
      <c r="J164" s="157">
        <v>67850</v>
      </c>
    </row>
    <row r="165" spans="1:10" x14ac:dyDescent="0.5">
      <c r="A165" s="76" t="s">
        <v>14</v>
      </c>
      <c r="B165" s="157">
        <v>22463</v>
      </c>
      <c r="C165" s="157">
        <v>36137</v>
      </c>
      <c r="D165" s="157">
        <v>30000</v>
      </c>
      <c r="E165" s="157">
        <v>49226</v>
      </c>
      <c r="F165" s="157">
        <v>57321</v>
      </c>
      <c r="G165" s="157">
        <v>52063</v>
      </c>
      <c r="H165" s="157">
        <v>104731</v>
      </c>
      <c r="I165" s="157">
        <v>47502</v>
      </c>
      <c r="J165" s="157">
        <v>64625</v>
      </c>
    </row>
    <row r="166" spans="1:10" x14ac:dyDescent="0.5">
      <c r="A166" s="77" t="s">
        <v>73</v>
      </c>
      <c r="B166" s="156">
        <f>SUM(B168/$B$285)</f>
        <v>1.478198962384231E-2</v>
      </c>
      <c r="C166" s="156">
        <f>SUM(C168/$C$285)</f>
        <v>9.3672689297157E-3</v>
      </c>
      <c r="D166" s="156">
        <f>SUM(D168/$D$285)</f>
        <v>1.0946337123748102E-2</v>
      </c>
      <c r="E166" s="156">
        <f>SUM(E168/$E$285)</f>
        <v>6.76684097547772E-3</v>
      </c>
      <c r="F166" s="156">
        <f>SUM(F168/$F$285)</f>
        <v>4.6687738687354345E-3</v>
      </c>
      <c r="G166" s="156">
        <f>SUM(G168/$G$285)</f>
        <v>3.4190921421398662E-3</v>
      </c>
      <c r="H166" s="156">
        <f>SUM(H168/$H$285)</f>
        <v>6.5864989039283017E-3</v>
      </c>
      <c r="I166" s="156">
        <f>SUM(I168/$I$285)</f>
        <v>7.94419396931321E-3</v>
      </c>
      <c r="J166" s="156">
        <f>SUM(J168/$J$285)</f>
        <v>9.6730586609676782E-3</v>
      </c>
    </row>
    <row r="167" spans="1:10" x14ac:dyDescent="0.5">
      <c r="A167" s="76" t="s">
        <v>16</v>
      </c>
      <c r="B167" s="157">
        <v>35000</v>
      </c>
      <c r="C167" s="157">
        <v>28587</v>
      </c>
      <c r="D167" s="157">
        <v>61766</v>
      </c>
      <c r="E167" s="157">
        <v>65400</v>
      </c>
      <c r="F167" s="157">
        <v>83226</v>
      </c>
      <c r="G167" s="157">
        <v>105374</v>
      </c>
      <c r="H167" s="157">
        <v>434083</v>
      </c>
      <c r="I167" s="157">
        <v>150971</v>
      </c>
      <c r="J167" s="157">
        <v>118000</v>
      </c>
    </row>
    <row r="168" spans="1:10" x14ac:dyDescent="0.5">
      <c r="A168" s="76" t="s">
        <v>15</v>
      </c>
      <c r="B168" s="157">
        <v>18500</v>
      </c>
      <c r="C168" s="157">
        <v>22173</v>
      </c>
      <c r="D168" s="157">
        <v>38488</v>
      </c>
      <c r="E168" s="157">
        <v>45000</v>
      </c>
      <c r="F168" s="157">
        <v>47667</v>
      </c>
      <c r="G168" s="157">
        <v>60000</v>
      </c>
      <c r="H168" s="157">
        <v>185780</v>
      </c>
      <c r="I168" s="157">
        <v>62811</v>
      </c>
      <c r="J168" s="157">
        <v>106547</v>
      </c>
    </row>
    <row r="169" spans="1:10" x14ac:dyDescent="0.5">
      <c r="A169" s="76" t="s">
        <v>14</v>
      </c>
      <c r="B169" s="157">
        <v>2000</v>
      </c>
      <c r="C169" s="157">
        <v>18587</v>
      </c>
      <c r="D169" s="157">
        <v>30125</v>
      </c>
      <c r="E169" s="157">
        <v>32254</v>
      </c>
      <c r="F169" s="157">
        <v>21090</v>
      </c>
      <c r="G169" s="157">
        <v>35604</v>
      </c>
      <c r="H169" s="157">
        <v>86080</v>
      </c>
      <c r="I169" s="157">
        <v>34272</v>
      </c>
      <c r="J169" s="157">
        <v>38538</v>
      </c>
    </row>
    <row r="170" spans="1:10" x14ac:dyDescent="0.5">
      <c r="A170" s="77" t="s">
        <v>74</v>
      </c>
      <c r="B170" s="156">
        <f>SUM(B172/$B$285)</f>
        <v>4.545661565948049E-2</v>
      </c>
      <c r="C170" s="156">
        <f>SUM(C172/$C$285)</f>
        <v>2.3335158372875857E-2</v>
      </c>
      <c r="D170" s="156">
        <f>SUM(D172/$D$285)</f>
        <v>1.1329436170351944E-2</v>
      </c>
      <c r="E170" s="156">
        <f>SUM(E172/$E$285)</f>
        <v>7.4739006702931919E-3</v>
      </c>
      <c r="F170" s="156">
        <f>SUM(F172/$F$285)</f>
        <v>8.8039399996885336E-3</v>
      </c>
      <c r="G170" s="156">
        <f>SUM(G172/$G$285)</f>
        <v>6.8170998827365367E-3</v>
      </c>
      <c r="H170" s="156">
        <f>SUM(H172/$H$285)</f>
        <v>1.2598726577122236E-2</v>
      </c>
      <c r="I170" s="156">
        <f>SUM(I172/$I$285)</f>
        <v>1.2647775022389724E-2</v>
      </c>
      <c r="J170" s="156">
        <f>SUM(J172/$J$285)</f>
        <v>5.970501560624686E-3</v>
      </c>
    </row>
    <row r="171" spans="1:10" x14ac:dyDescent="0.5">
      <c r="A171" s="76" t="s">
        <v>16</v>
      </c>
      <c r="B171" s="157">
        <v>56890</v>
      </c>
      <c r="C171" s="157">
        <v>56890</v>
      </c>
      <c r="D171" s="157">
        <v>121013</v>
      </c>
      <c r="E171" s="157">
        <v>159172</v>
      </c>
      <c r="F171" s="157">
        <v>234069</v>
      </c>
      <c r="G171" s="157">
        <v>175118</v>
      </c>
      <c r="H171" s="157">
        <v>639166</v>
      </c>
      <c r="I171" s="157">
        <v>254623</v>
      </c>
      <c r="J171" s="157">
        <v>81273</v>
      </c>
    </row>
    <row r="172" spans="1:10" x14ac:dyDescent="0.5">
      <c r="A172" s="76" t="s">
        <v>15</v>
      </c>
      <c r="B172" s="157">
        <v>56890</v>
      </c>
      <c r="C172" s="157">
        <v>55236</v>
      </c>
      <c r="D172" s="157">
        <v>39835</v>
      </c>
      <c r="E172" s="157">
        <v>49702</v>
      </c>
      <c r="F172" s="157">
        <v>89886</v>
      </c>
      <c r="G172" s="157">
        <v>119630</v>
      </c>
      <c r="H172" s="157">
        <v>355362</v>
      </c>
      <c r="I172" s="157">
        <v>100000</v>
      </c>
      <c r="J172" s="157">
        <v>65764</v>
      </c>
    </row>
    <row r="173" spans="1:10" x14ac:dyDescent="0.5">
      <c r="A173" s="76" t="s">
        <v>14</v>
      </c>
      <c r="B173" s="157">
        <v>56890</v>
      </c>
      <c r="C173" s="157">
        <v>33151</v>
      </c>
      <c r="D173" s="157">
        <v>23715</v>
      </c>
      <c r="E173" s="157">
        <v>16463</v>
      </c>
      <c r="F173" s="157">
        <v>54417</v>
      </c>
      <c r="G173" s="157">
        <v>48504</v>
      </c>
      <c r="H173" s="157">
        <v>74758</v>
      </c>
      <c r="I173" s="157">
        <v>41800</v>
      </c>
      <c r="J173" s="157">
        <v>40413</v>
      </c>
    </row>
    <row r="174" spans="1:10" x14ac:dyDescent="0.5">
      <c r="A174" s="77" t="s">
        <v>154</v>
      </c>
      <c r="B174" s="156">
        <f>SUM(B176/$B$285)</f>
        <v>1.149000058328932E-2</v>
      </c>
      <c r="C174" s="156">
        <f>SUM(C176/$C$285)</f>
        <v>1.3180841140446932E-2</v>
      </c>
      <c r="D174" s="156">
        <f>SUM(D176/$D$285)</f>
        <v>1.0501805713323599E-2</v>
      </c>
      <c r="E174" s="156">
        <f>SUM(E176/$E$285)</f>
        <v>7.0319507674725477E-3</v>
      </c>
      <c r="F174" s="156">
        <f>SUM(F176/$F$285)</f>
        <v>1.2836948848977354E-2</v>
      </c>
      <c r="G174" s="156">
        <f>SUM(G176/$G$285)</f>
        <v>7.5234273344335972E-3</v>
      </c>
      <c r="H174" s="156">
        <f>SUM(H176/$H$285)</f>
        <v>1.2172614345846995E-2</v>
      </c>
      <c r="I174" s="156">
        <f>SUM(I176/$I$285)</f>
        <v>1.5563087165050555E-2</v>
      </c>
      <c r="J174" s="156">
        <f>SUM(J176/$J$285)</f>
        <v>8.4704062345095071E-3</v>
      </c>
    </row>
    <row r="175" spans="1:10" x14ac:dyDescent="0.5">
      <c r="A175" s="76" t="s">
        <v>16</v>
      </c>
      <c r="B175" s="157">
        <v>187477</v>
      </c>
      <c r="C175" s="157">
        <v>44543</v>
      </c>
      <c r="D175" s="157">
        <v>98261</v>
      </c>
      <c r="E175" s="157">
        <v>181712</v>
      </c>
      <c r="F175" s="157">
        <v>211411</v>
      </c>
      <c r="G175" s="157">
        <v>363927</v>
      </c>
      <c r="H175" s="157">
        <v>501650</v>
      </c>
      <c r="I175" s="157">
        <v>329046</v>
      </c>
      <c r="J175" s="157">
        <v>320820</v>
      </c>
    </row>
    <row r="176" spans="1:10" x14ac:dyDescent="0.5">
      <c r="A176" s="76" t="s">
        <v>15</v>
      </c>
      <c r="B176" s="157">
        <v>14380</v>
      </c>
      <c r="C176" s="157">
        <v>31200</v>
      </c>
      <c r="D176" s="157">
        <v>36925</v>
      </c>
      <c r="E176" s="157">
        <v>46763</v>
      </c>
      <c r="F176" s="157">
        <v>131062</v>
      </c>
      <c r="G176" s="157">
        <v>132025</v>
      </c>
      <c r="H176" s="157">
        <v>343343</v>
      </c>
      <c r="I176" s="157">
        <v>123050</v>
      </c>
      <c r="J176" s="157">
        <v>93300</v>
      </c>
    </row>
    <row r="177" spans="1:10" x14ac:dyDescent="0.5">
      <c r="A177" s="76" t="s">
        <v>14</v>
      </c>
      <c r="B177" s="157">
        <v>6250</v>
      </c>
      <c r="C177" s="157">
        <v>18761</v>
      </c>
      <c r="D177" s="157">
        <v>10700</v>
      </c>
      <c r="E177" s="157">
        <v>26519</v>
      </c>
      <c r="F177" s="157">
        <v>69832</v>
      </c>
      <c r="G177" s="157">
        <v>41924</v>
      </c>
      <c r="H177" s="157">
        <v>192771</v>
      </c>
      <c r="I177" s="157">
        <v>36373</v>
      </c>
      <c r="J177" s="157">
        <v>33477</v>
      </c>
    </row>
    <row r="178" spans="1:10" x14ac:dyDescent="0.5">
      <c r="A178" s="135" t="s">
        <v>75</v>
      </c>
      <c r="B178" s="156">
        <f>SUM(B180/$B$285)</f>
        <v>8.6895726247140481E-2</v>
      </c>
      <c r="C178" s="156">
        <f>SUM(C180/$C$285)</f>
        <v>4.0784564221113678E-2</v>
      </c>
      <c r="D178" s="156">
        <f>SUM(D180/$D$285)</f>
        <v>5.5876716622175603E-2</v>
      </c>
      <c r="E178" s="156">
        <f>SUM(E180/$E$285)</f>
        <v>6.1296451543779579E-2</v>
      </c>
      <c r="F178" s="156">
        <f>SUM(F180/$F$285)</f>
        <v>7.1019683445632878E-2</v>
      </c>
      <c r="G178" s="156">
        <f>SUM(G180/$G$285)</f>
        <v>5.7052282135733628E-2</v>
      </c>
      <c r="H178" s="156">
        <f>SUM(H180/$H$285)</f>
        <v>8.774072380723319E-2</v>
      </c>
      <c r="I178" s="156">
        <f>SUM(I180/$I$285)</f>
        <v>7.0920501271797012E-2</v>
      </c>
      <c r="J178" s="156">
        <f>SUM(J180/$J$285)</f>
        <v>5.7874027900592109E-2</v>
      </c>
    </row>
    <row r="179" spans="1:10" x14ac:dyDescent="0.5">
      <c r="A179" s="76" t="s">
        <v>16</v>
      </c>
      <c r="B179" s="157">
        <v>173700</v>
      </c>
      <c r="C179" s="157">
        <v>177700</v>
      </c>
      <c r="D179" s="157">
        <v>463971</v>
      </c>
      <c r="E179" s="157">
        <v>637293</v>
      </c>
      <c r="F179" s="157">
        <v>1260045</v>
      </c>
      <c r="G179" s="157">
        <v>1377155</v>
      </c>
      <c r="H179" s="157">
        <v>3267382</v>
      </c>
      <c r="I179" s="157">
        <v>1200434</v>
      </c>
      <c r="J179" s="157">
        <v>1105135</v>
      </c>
    </row>
    <row r="180" spans="1:10" x14ac:dyDescent="0.5">
      <c r="A180" s="76" t="s">
        <v>15</v>
      </c>
      <c r="B180" s="157">
        <v>108752</v>
      </c>
      <c r="C180" s="157">
        <v>96540</v>
      </c>
      <c r="D180" s="157">
        <v>196466</v>
      </c>
      <c r="E180" s="157">
        <v>407626</v>
      </c>
      <c r="F180" s="157">
        <v>725093</v>
      </c>
      <c r="G180" s="157">
        <v>1001183</v>
      </c>
      <c r="H180" s="157">
        <v>2474831</v>
      </c>
      <c r="I180" s="157">
        <v>560735</v>
      </c>
      <c r="J180" s="157">
        <v>637472</v>
      </c>
    </row>
    <row r="181" spans="1:10" x14ac:dyDescent="0.5">
      <c r="A181" s="76" t="s">
        <v>14</v>
      </c>
      <c r="B181" s="157">
        <v>73041</v>
      </c>
      <c r="C181" s="157">
        <v>57531</v>
      </c>
      <c r="D181" s="157">
        <v>115054</v>
      </c>
      <c r="E181" s="157">
        <v>266136</v>
      </c>
      <c r="F181" s="157">
        <v>427728</v>
      </c>
      <c r="G181" s="157">
        <v>657663</v>
      </c>
      <c r="H181" s="157">
        <v>1505583</v>
      </c>
      <c r="I181" s="157">
        <v>187119</v>
      </c>
      <c r="J181" s="157">
        <v>298631</v>
      </c>
    </row>
    <row r="182" spans="1:10" x14ac:dyDescent="0.5">
      <c r="A182" s="135" t="s">
        <v>51</v>
      </c>
      <c r="B182" s="156">
        <f>SUM(B184/$B$285)</f>
        <v>0.54933788671882178</v>
      </c>
      <c r="C182" s="156">
        <f>SUM(C184/$C$285)</f>
        <v>0.52947058644603961</v>
      </c>
      <c r="D182" s="156">
        <f>SUM(D184/$D$285)</f>
        <v>0.53890887020763567</v>
      </c>
      <c r="E182" s="156">
        <f>SUM(E184/$E$285)</f>
        <v>0.54446859621883958</v>
      </c>
      <c r="F182" s="156">
        <f>SUM(F184/$F$285)</f>
        <v>0.53050207806324678</v>
      </c>
      <c r="G182" s="156">
        <f>SUM(G184/$G$285)</f>
        <v>0.4742651202796726</v>
      </c>
      <c r="H182" s="156">
        <f>SUM(H184/$H$285)</f>
        <v>0.52356476154307152</v>
      </c>
      <c r="I182" s="156">
        <f>SUM(I184/$I$285)</f>
        <v>0.53026745364495598</v>
      </c>
      <c r="J182" s="156">
        <f>SUM(J184/$J$285)</f>
        <v>0.53296912704883059</v>
      </c>
    </row>
    <row r="183" spans="1:10" x14ac:dyDescent="0.5">
      <c r="A183" s="76" t="s">
        <v>16</v>
      </c>
      <c r="B183" s="157">
        <v>912300</v>
      </c>
      <c r="C183" s="157">
        <v>1911442</v>
      </c>
      <c r="D183" s="157">
        <v>2995045</v>
      </c>
      <c r="E183" s="157">
        <v>4517845</v>
      </c>
      <c r="F183" s="157">
        <v>7292206</v>
      </c>
      <c r="G183" s="157">
        <v>10063127</v>
      </c>
      <c r="H183" s="157">
        <v>18677964</v>
      </c>
      <c r="I183" s="157">
        <v>8140321</v>
      </c>
      <c r="J183" s="157">
        <v>7596458</v>
      </c>
    </row>
    <row r="184" spans="1:10" x14ac:dyDescent="0.5">
      <c r="A184" s="76" t="s">
        <v>15</v>
      </c>
      <c r="B184" s="157">
        <v>687509</v>
      </c>
      <c r="C184" s="157">
        <v>1253295</v>
      </c>
      <c r="D184" s="157">
        <v>1894837</v>
      </c>
      <c r="E184" s="157">
        <v>3620757</v>
      </c>
      <c r="F184" s="157">
        <v>5416292</v>
      </c>
      <c r="G184" s="157">
        <v>8322650</v>
      </c>
      <c r="H184" s="157">
        <v>14767764</v>
      </c>
      <c r="I184" s="157">
        <v>4192575</v>
      </c>
      <c r="J184" s="157">
        <v>5870559</v>
      </c>
    </row>
    <row r="185" spans="1:10" x14ac:dyDescent="0.5">
      <c r="A185" s="76" t="s">
        <v>14</v>
      </c>
      <c r="B185" s="157">
        <v>535016</v>
      </c>
      <c r="C185" s="157">
        <v>1016771</v>
      </c>
      <c r="D185" s="157">
        <v>1385358</v>
      </c>
      <c r="E185" s="157">
        <v>2521227</v>
      </c>
      <c r="F185" s="157">
        <v>4373798</v>
      </c>
      <c r="G185" s="157">
        <v>6925380</v>
      </c>
      <c r="H185" s="157">
        <v>10701136</v>
      </c>
      <c r="I185" s="157">
        <v>1843566</v>
      </c>
      <c r="J185" s="157">
        <v>3395366</v>
      </c>
    </row>
    <row r="186" spans="1:10" x14ac:dyDescent="0.5">
      <c r="A186" s="135" t="s">
        <v>39</v>
      </c>
      <c r="B186" s="156">
        <f>SUM(B188/$B$285)</f>
        <v>3.9999264895651141E-3</v>
      </c>
      <c r="C186" s="156">
        <f>SUM(C188/$C$285)</f>
        <v>4.1849170620919009E-3</v>
      </c>
      <c r="D186" s="156">
        <f>SUM(D188/$D$285)</f>
        <v>7.5709700227129103E-3</v>
      </c>
      <c r="E186" s="156">
        <f>SUM(E188/$E$285)</f>
        <v>4.9727258715127273E-3</v>
      </c>
      <c r="F186" s="156">
        <f>SUM(F188/$F$285)</f>
        <v>5.6261923042755123E-3</v>
      </c>
      <c r="G186" s="156">
        <f>SUM(G188/$G$285)</f>
        <v>4.7327073431500024E-3</v>
      </c>
      <c r="H186" s="156">
        <f>SUM(H188/$H$285)</f>
        <v>6.3068084644133356E-3</v>
      </c>
      <c r="I186" s="156">
        <f>SUM(I188/$I$285)</f>
        <v>5.6659502545301482E-3</v>
      </c>
      <c r="J186" s="156">
        <f>SUM(J188/$J$285)</f>
        <v>6.0664631832385825E-3</v>
      </c>
    </row>
    <row r="187" spans="1:10" x14ac:dyDescent="0.5">
      <c r="A187" s="76" t="s">
        <v>16</v>
      </c>
      <c r="B187" s="157">
        <v>15350</v>
      </c>
      <c r="C187" s="157">
        <v>20509</v>
      </c>
      <c r="D187" s="157">
        <v>55075</v>
      </c>
      <c r="E187" s="157">
        <v>56182</v>
      </c>
      <c r="F187" s="157">
        <v>79734</v>
      </c>
      <c r="G187" s="157">
        <v>127184</v>
      </c>
      <c r="H187" s="157">
        <v>304969</v>
      </c>
      <c r="I187" s="157">
        <v>102480</v>
      </c>
      <c r="J187" s="157">
        <v>113103</v>
      </c>
    </row>
    <row r="188" spans="1:10" x14ac:dyDescent="0.5">
      <c r="A188" s="76" t="s">
        <v>15</v>
      </c>
      <c r="B188" s="157">
        <v>5006</v>
      </c>
      <c r="C188" s="157">
        <v>9906</v>
      </c>
      <c r="D188" s="157">
        <v>26620</v>
      </c>
      <c r="E188" s="157">
        <v>33069</v>
      </c>
      <c r="F188" s="157">
        <v>57442</v>
      </c>
      <c r="G188" s="157">
        <v>83052</v>
      </c>
      <c r="H188" s="157">
        <v>177891</v>
      </c>
      <c r="I188" s="157">
        <v>44798</v>
      </c>
      <c r="J188" s="157">
        <v>66821</v>
      </c>
    </row>
    <row r="189" spans="1:10" x14ac:dyDescent="0.5">
      <c r="A189" s="76" t="s">
        <v>14</v>
      </c>
      <c r="B189" s="157">
        <v>2707</v>
      </c>
      <c r="C189" s="157">
        <v>5000</v>
      </c>
      <c r="D189" s="157">
        <v>11166</v>
      </c>
      <c r="E189" s="157">
        <v>14065</v>
      </c>
      <c r="F189" s="157">
        <v>30412</v>
      </c>
      <c r="G189" s="157">
        <v>48000</v>
      </c>
      <c r="H189" s="157">
        <v>104799</v>
      </c>
      <c r="I189" s="157">
        <v>14635</v>
      </c>
      <c r="J189" s="157">
        <v>34523</v>
      </c>
    </row>
    <row r="190" spans="1:10" x14ac:dyDescent="0.5">
      <c r="A190" s="135" t="s">
        <v>40</v>
      </c>
      <c r="B190" s="156">
        <f>SUM(B192/$B$285)</f>
        <v>8.0772786437005153E-2</v>
      </c>
      <c r="C190" s="156">
        <f>SUM(C192/$C$285)</f>
        <v>9.9731229130334859E-2</v>
      </c>
      <c r="D190" s="156">
        <f>SUM(D192/$D$285)</f>
        <v>8.1684566426871885E-2</v>
      </c>
      <c r="E190" s="156">
        <f>SUM(E192/$E$285)</f>
        <v>0.11365586102412378</v>
      </c>
      <c r="F190" s="156">
        <f>SUM(F192/$F$285)</f>
        <v>0.11293962524242765</v>
      </c>
      <c r="G190" s="156">
        <f>SUM(G192/$G$285)</f>
        <v>0.10947465763205759</v>
      </c>
      <c r="H190" s="156">
        <f>SUM(H192/$H$285)</f>
        <v>0.1275645440021238</v>
      </c>
      <c r="I190" s="156">
        <f>SUM(I192/$I$285)</f>
        <v>0.11132053015931517</v>
      </c>
      <c r="J190" s="156">
        <f>SUM(J192/$J$285)</f>
        <v>0.12152608939592295</v>
      </c>
    </row>
    <row r="191" spans="1:10" x14ac:dyDescent="0.5">
      <c r="A191" s="76" t="s">
        <v>16</v>
      </c>
      <c r="B191" s="157">
        <v>166850</v>
      </c>
      <c r="C191" s="157">
        <v>327465</v>
      </c>
      <c r="D191" s="157">
        <v>598225</v>
      </c>
      <c r="E191" s="157">
        <v>975246</v>
      </c>
      <c r="F191" s="157">
        <v>1719990</v>
      </c>
      <c r="G191" s="157">
        <v>2401498</v>
      </c>
      <c r="H191" s="157">
        <v>4611374</v>
      </c>
      <c r="I191" s="157">
        <v>1905292</v>
      </c>
      <c r="J191" s="157">
        <v>1837170</v>
      </c>
    </row>
    <row r="192" spans="1:10" x14ac:dyDescent="0.5">
      <c r="A192" s="76" t="s">
        <v>15</v>
      </c>
      <c r="B192" s="157">
        <v>101089</v>
      </c>
      <c r="C192" s="157">
        <v>236071</v>
      </c>
      <c r="D192" s="157">
        <v>287208</v>
      </c>
      <c r="E192" s="157">
        <v>755820</v>
      </c>
      <c r="F192" s="157">
        <v>1153085</v>
      </c>
      <c r="G192" s="157">
        <v>1921118</v>
      </c>
      <c r="H192" s="157">
        <v>3598109</v>
      </c>
      <c r="I192" s="157">
        <v>880159</v>
      </c>
      <c r="J192" s="157">
        <v>1338588</v>
      </c>
    </row>
    <row r="193" spans="1:10" x14ac:dyDescent="0.5">
      <c r="A193" s="76" t="s">
        <v>14</v>
      </c>
      <c r="B193" s="157">
        <v>38945</v>
      </c>
      <c r="C193" s="157">
        <v>111246</v>
      </c>
      <c r="D193" s="157">
        <v>185551</v>
      </c>
      <c r="E193" s="157">
        <v>483394</v>
      </c>
      <c r="F193" s="157">
        <v>818208</v>
      </c>
      <c r="G193" s="157">
        <v>1427700</v>
      </c>
      <c r="H193" s="157">
        <v>2288910</v>
      </c>
      <c r="I193" s="157">
        <v>290535</v>
      </c>
      <c r="J193" s="157">
        <v>801602</v>
      </c>
    </row>
    <row r="194" spans="1:10" x14ac:dyDescent="0.5">
      <c r="A194" s="135" t="s">
        <v>41</v>
      </c>
      <c r="B194" s="156">
        <f>SUM(B196/$B$285)</f>
        <v>9.155245249188388E-3</v>
      </c>
      <c r="C194" s="156">
        <f>SUM(C196/$C$285)</f>
        <v>1.1853462843546795E-2</v>
      </c>
      <c r="D194" s="156">
        <f>SUM(D196/$D$285)</f>
        <v>1.0867840214421703E-2</v>
      </c>
      <c r="E194" s="156">
        <f>SUM(E196/$E$285)</f>
        <v>1.3791122656511393E-2</v>
      </c>
      <c r="F194" s="156">
        <f>SUM(F196/$F$285)</f>
        <v>1.4540321126468659E-2</v>
      </c>
      <c r="G194" s="156">
        <f>SUM(G196/$G$285)</f>
        <v>1.4343262490883845E-2</v>
      </c>
      <c r="H194" s="156">
        <f>SUM(H196/$H$285)</f>
        <v>1.4457822440639258E-2</v>
      </c>
      <c r="I194" s="156">
        <f>SUM(I196/$I$285)</f>
        <v>1.4416819314771375E-2</v>
      </c>
      <c r="J194" s="156">
        <f>SUM(J196/$J$285)</f>
        <v>1.2928581674507618E-2</v>
      </c>
    </row>
    <row r="195" spans="1:10" x14ac:dyDescent="0.5">
      <c r="A195" s="76" t="s">
        <v>16</v>
      </c>
      <c r="B195" s="157">
        <v>22100</v>
      </c>
      <c r="C195" s="157">
        <v>46052</v>
      </c>
      <c r="D195" s="157">
        <v>88577</v>
      </c>
      <c r="E195" s="157">
        <v>144632</v>
      </c>
      <c r="F195" s="157">
        <v>227734</v>
      </c>
      <c r="G195" s="157">
        <v>359059</v>
      </c>
      <c r="H195" s="157">
        <v>730127</v>
      </c>
      <c r="I195" s="157">
        <v>250390</v>
      </c>
      <c r="J195" s="157">
        <v>263212</v>
      </c>
    </row>
    <row r="196" spans="1:10" x14ac:dyDescent="0.5">
      <c r="A196" s="76" t="s">
        <v>15</v>
      </c>
      <c r="B196" s="157">
        <v>11458</v>
      </c>
      <c r="C196" s="157">
        <v>28058</v>
      </c>
      <c r="D196" s="157">
        <v>38212</v>
      </c>
      <c r="E196" s="157">
        <v>91712</v>
      </c>
      <c r="F196" s="157">
        <v>148453</v>
      </c>
      <c r="G196" s="157">
        <v>251703</v>
      </c>
      <c r="H196" s="157">
        <v>407800</v>
      </c>
      <c r="I196" s="157">
        <v>113987</v>
      </c>
      <c r="J196" s="157">
        <v>142406</v>
      </c>
    </row>
    <row r="197" spans="1:10" x14ac:dyDescent="0.5">
      <c r="A197" s="76" t="s">
        <v>14</v>
      </c>
      <c r="B197" s="157">
        <v>5250</v>
      </c>
      <c r="C197" s="157">
        <v>12684</v>
      </c>
      <c r="D197" s="157">
        <v>24890</v>
      </c>
      <c r="E197" s="157">
        <v>54275</v>
      </c>
      <c r="F197" s="157">
        <v>112807</v>
      </c>
      <c r="G197" s="157">
        <v>116301</v>
      </c>
      <c r="H197" s="157">
        <v>226861</v>
      </c>
      <c r="I197" s="157">
        <v>39619</v>
      </c>
      <c r="J197" s="157">
        <v>77125</v>
      </c>
    </row>
    <row r="198" spans="1:10" x14ac:dyDescent="0.5">
      <c r="A198" s="77" t="s">
        <v>42</v>
      </c>
      <c r="B198" s="156">
        <f>SUM(B200/$B$285)</f>
        <v>3.2853571208839152E-2</v>
      </c>
      <c r="C198" s="156">
        <f>SUM(C200/$C$285)</f>
        <v>2.0816434819050707E-2</v>
      </c>
      <c r="D198" s="156">
        <f>SUM(D200/$D$285)</f>
        <v>4.3657079994607606E-2</v>
      </c>
      <c r="E198" s="156">
        <f>SUM(E200/$E$285)</f>
        <v>3.3147896828231257E-2</v>
      </c>
      <c r="F198" s="156">
        <f>SUM(F200/$F$285)</f>
        <v>3.5100967732109328E-2</v>
      </c>
      <c r="G198" s="156">
        <f>SUM(G200/$G$285)</f>
        <v>3.5900467492468592E-2</v>
      </c>
      <c r="H198" s="156">
        <f>SUM(H200/$H$285)</f>
        <v>3.9306415926379831E-2</v>
      </c>
      <c r="I198" s="156">
        <f>SUM(I200/$I$285)</f>
        <v>3.6107627000419529E-2</v>
      </c>
      <c r="J198" s="156">
        <f>SUM(J200/$J$285)</f>
        <v>2.6161662196931043E-2</v>
      </c>
    </row>
    <row r="199" spans="1:10" x14ac:dyDescent="0.5">
      <c r="A199" s="76" t="s">
        <v>16</v>
      </c>
      <c r="B199" s="157">
        <v>68165</v>
      </c>
      <c r="C199" s="157">
        <v>102533</v>
      </c>
      <c r="D199" s="157">
        <v>253288</v>
      </c>
      <c r="E199" s="157">
        <v>344338</v>
      </c>
      <c r="F199" s="157">
        <v>511052</v>
      </c>
      <c r="G199" s="157">
        <v>977866</v>
      </c>
      <c r="H199" s="157">
        <v>1463219</v>
      </c>
      <c r="I199" s="157">
        <v>655924</v>
      </c>
      <c r="J199" s="157">
        <v>501875</v>
      </c>
    </row>
    <row r="200" spans="1:10" x14ac:dyDescent="0.5">
      <c r="A200" s="76" t="s">
        <v>15</v>
      </c>
      <c r="B200" s="157">
        <v>41117</v>
      </c>
      <c r="C200" s="157">
        <v>49274</v>
      </c>
      <c r="D200" s="157">
        <v>153501</v>
      </c>
      <c r="E200" s="157">
        <v>220436</v>
      </c>
      <c r="F200" s="157">
        <v>358372</v>
      </c>
      <c r="G200" s="157">
        <v>630000</v>
      </c>
      <c r="H200" s="157">
        <v>1108684</v>
      </c>
      <c r="I200" s="157">
        <v>285486</v>
      </c>
      <c r="J200" s="157">
        <v>288166</v>
      </c>
    </row>
    <row r="201" spans="1:10" x14ac:dyDescent="0.5">
      <c r="A201" s="76" t="s">
        <v>14</v>
      </c>
      <c r="B201" s="157">
        <v>17962</v>
      </c>
      <c r="C201" s="157">
        <v>31574</v>
      </c>
      <c r="D201" s="157">
        <v>56129</v>
      </c>
      <c r="E201" s="157">
        <v>152409</v>
      </c>
      <c r="F201" s="157">
        <v>247533</v>
      </c>
      <c r="G201" s="157">
        <v>457825</v>
      </c>
      <c r="H201" s="157">
        <v>802906</v>
      </c>
      <c r="I201" s="157">
        <v>120192</v>
      </c>
      <c r="J201" s="157">
        <v>129578</v>
      </c>
    </row>
    <row r="202" spans="1:10" x14ac:dyDescent="0.5">
      <c r="A202" s="77" t="s">
        <v>43</v>
      </c>
      <c r="B202" s="156">
        <f>SUM(B204/$B$285)</f>
        <v>7.6618647839472387E-3</v>
      </c>
      <c r="C202" s="156">
        <f>SUM(C204/$C$285)</f>
        <v>3.1536852279947548E-3</v>
      </c>
      <c r="D202" s="156">
        <f>SUM(D204/$D$285)</f>
        <v>7.2657990672519426E-3</v>
      </c>
      <c r="E202" s="156">
        <f>SUM(E204/$E$285)</f>
        <v>8.8710277703634918E-3</v>
      </c>
      <c r="F202" s="156">
        <f>SUM(F204/$F$285)</f>
        <v>1.3139894651650035E-2</v>
      </c>
      <c r="G202" s="156">
        <f>SUM(G204/$G$285)</f>
        <v>1.3501197081143832E-2</v>
      </c>
      <c r="H202" s="156">
        <f>SUM(H204/$H$285)</f>
        <v>1.3782509537624799E-2</v>
      </c>
      <c r="I202" s="156">
        <f>SUM(I204/$I$285)</f>
        <v>1.7453929530897819E-2</v>
      </c>
      <c r="J202" s="156">
        <f>SUM(J204/$J$285)</f>
        <v>4.5308048610871532E-3</v>
      </c>
    </row>
    <row r="203" spans="1:10" x14ac:dyDescent="0.5">
      <c r="A203" s="76" t="s">
        <v>16</v>
      </c>
      <c r="B203" s="157">
        <v>15200</v>
      </c>
      <c r="C203" s="157">
        <v>20735</v>
      </c>
      <c r="D203" s="157">
        <v>49231</v>
      </c>
      <c r="E203" s="157">
        <v>159140</v>
      </c>
      <c r="F203" s="157">
        <v>219064</v>
      </c>
      <c r="G203" s="157">
        <v>377413</v>
      </c>
      <c r="H203" s="157">
        <v>614048</v>
      </c>
      <c r="I203" s="157">
        <v>281302</v>
      </c>
      <c r="J203" s="157">
        <v>92099</v>
      </c>
    </row>
    <row r="204" spans="1:10" x14ac:dyDescent="0.5">
      <c r="A204" s="76" t="s">
        <v>15</v>
      </c>
      <c r="B204" s="157">
        <v>9589</v>
      </c>
      <c r="C204" s="157">
        <v>7465</v>
      </c>
      <c r="D204" s="157">
        <v>25547</v>
      </c>
      <c r="E204" s="157">
        <v>58993</v>
      </c>
      <c r="F204" s="157">
        <v>134155</v>
      </c>
      <c r="G204" s="157">
        <v>236926</v>
      </c>
      <c r="H204" s="157">
        <v>388752</v>
      </c>
      <c r="I204" s="157">
        <v>138000</v>
      </c>
      <c r="J204" s="157">
        <v>49906</v>
      </c>
    </row>
    <row r="205" spans="1:10" x14ac:dyDescent="0.5">
      <c r="A205" s="76" t="s">
        <v>14</v>
      </c>
      <c r="B205" s="157">
        <v>6779</v>
      </c>
      <c r="C205" s="157">
        <v>4852</v>
      </c>
      <c r="D205" s="157">
        <v>12162</v>
      </c>
      <c r="E205" s="157">
        <v>31923</v>
      </c>
      <c r="F205" s="157">
        <v>82640</v>
      </c>
      <c r="G205" s="157">
        <v>191958</v>
      </c>
      <c r="H205" s="157">
        <v>234896</v>
      </c>
      <c r="I205" s="157">
        <v>25921</v>
      </c>
      <c r="J205" s="157">
        <v>23259</v>
      </c>
    </row>
    <row r="206" spans="1:10" x14ac:dyDescent="0.5">
      <c r="A206" s="77" t="s">
        <v>44</v>
      </c>
      <c r="B206" s="156">
        <f>SUM(B208/$B$285)</f>
        <v>3.1786071850057891E-2</v>
      </c>
      <c r="C206" s="156">
        <f>SUM(C208/$C$285)</f>
        <v>2.2635137418718147E-2</v>
      </c>
      <c r="D206" s="156">
        <f>SUM(D208/$D$285)</f>
        <v>2.9037315041657401E-2</v>
      </c>
      <c r="E206" s="156">
        <f>SUM(E208/$E$285)</f>
        <v>1.2861509080724653E-2</v>
      </c>
      <c r="F206" s="156">
        <f>SUM(F208/$F$285)</f>
        <v>2.6241492565878467E-2</v>
      </c>
      <c r="G206" s="156">
        <f>SUM(G208/$G$285)</f>
        <v>2.8130694569193822E-2</v>
      </c>
      <c r="H206" s="156">
        <f>SUM(H208/$H$285)</f>
        <v>4.0185833007400078E-2</v>
      </c>
      <c r="I206" s="156">
        <f>SUM(I208/$I$285)</f>
        <v>3.2260932705109914E-2</v>
      </c>
      <c r="J206" s="156">
        <f>SUM(J208/$J$285)</f>
        <v>3.4571604438383925E-2</v>
      </c>
    </row>
    <row r="207" spans="1:10" x14ac:dyDescent="0.5">
      <c r="A207" s="76" t="s">
        <v>16</v>
      </c>
      <c r="B207" s="157">
        <v>48455</v>
      </c>
      <c r="C207" s="157">
        <v>116510</v>
      </c>
      <c r="D207" s="157">
        <v>267905</v>
      </c>
      <c r="E207" s="157">
        <v>200955</v>
      </c>
      <c r="F207" s="157">
        <v>687056</v>
      </c>
      <c r="G207" s="157">
        <v>925228</v>
      </c>
      <c r="H207" s="157">
        <v>2267620</v>
      </c>
      <c r="I207" s="157">
        <v>783523</v>
      </c>
      <c r="J207" s="157">
        <v>658794</v>
      </c>
    </row>
    <row r="208" spans="1:10" x14ac:dyDescent="0.5">
      <c r="A208" s="76" t="s">
        <v>15</v>
      </c>
      <c r="B208" s="157">
        <v>39781</v>
      </c>
      <c r="C208" s="157">
        <v>53579</v>
      </c>
      <c r="D208" s="157">
        <v>102097</v>
      </c>
      <c r="E208" s="157">
        <v>85530</v>
      </c>
      <c r="F208" s="157">
        <v>267919</v>
      </c>
      <c r="G208" s="157">
        <v>493652</v>
      </c>
      <c r="H208" s="157">
        <v>1133489</v>
      </c>
      <c r="I208" s="157">
        <v>255072</v>
      </c>
      <c r="J208" s="157">
        <v>380800</v>
      </c>
    </row>
    <row r="209" spans="1:10" x14ac:dyDescent="0.5">
      <c r="A209" s="76" t="s">
        <v>14</v>
      </c>
      <c r="B209" s="157">
        <v>24007</v>
      </c>
      <c r="C209" s="157">
        <v>18880</v>
      </c>
      <c r="D209" s="157">
        <v>35761</v>
      </c>
      <c r="E209" s="157">
        <v>53744</v>
      </c>
      <c r="F209" s="157">
        <v>99803</v>
      </c>
      <c r="G209" s="157">
        <v>296310</v>
      </c>
      <c r="H209" s="157">
        <v>421610</v>
      </c>
      <c r="I209" s="157">
        <v>63473</v>
      </c>
      <c r="J209" s="157">
        <v>97777</v>
      </c>
    </row>
    <row r="210" spans="1:10" x14ac:dyDescent="0.5">
      <c r="A210" s="77" t="s">
        <v>45</v>
      </c>
      <c r="B210" s="156">
        <f>SUM(B212/$B$285)</f>
        <v>1.1186370526150938E-2</v>
      </c>
      <c r="C210" s="156">
        <f>SUM(C212/$C$285)</f>
        <v>1.0996285706560679E-2</v>
      </c>
      <c r="D210" s="156">
        <f>SUM(D212/$D$285)</f>
        <v>9.8510777113714146E-3</v>
      </c>
      <c r="E210" s="156">
        <f>SUM(E212/$E$285)</f>
        <v>1.2543467554877201E-2</v>
      </c>
      <c r="F210" s="156">
        <f>SUM(F212/$F$285)</f>
        <v>1.5407237809124947E-2</v>
      </c>
      <c r="G210" s="156">
        <f>SUM(G212/$G$285)</f>
        <v>1.0754811317969985E-2</v>
      </c>
      <c r="H210" s="156">
        <f>SUM(H212/$H$285)</f>
        <v>2.3909544091465899E-2</v>
      </c>
      <c r="I210" s="156">
        <f>SUM(I212/$I$285)</f>
        <v>2.1181734740996966E-2</v>
      </c>
      <c r="J210" s="156">
        <f>SUM(J212/$J$285)</f>
        <v>2.0340323309867979E-2</v>
      </c>
    </row>
    <row r="211" spans="1:10" x14ac:dyDescent="0.5">
      <c r="A211" s="76" t="s">
        <v>16</v>
      </c>
      <c r="B211" s="157">
        <v>20000</v>
      </c>
      <c r="C211" s="157">
        <v>68439</v>
      </c>
      <c r="D211" s="157">
        <v>119741</v>
      </c>
      <c r="E211" s="157">
        <v>172664</v>
      </c>
      <c r="F211" s="157">
        <v>280582</v>
      </c>
      <c r="G211" s="157">
        <v>418000</v>
      </c>
      <c r="H211" s="157">
        <v>984468</v>
      </c>
      <c r="I211" s="157">
        <v>468063</v>
      </c>
      <c r="J211" s="157">
        <v>316783</v>
      </c>
    </row>
    <row r="212" spans="1:10" x14ac:dyDescent="0.5">
      <c r="A212" s="76" t="s">
        <v>15</v>
      </c>
      <c r="B212" s="157">
        <v>14000</v>
      </c>
      <c r="C212" s="157">
        <v>26029</v>
      </c>
      <c r="D212" s="157">
        <v>34637</v>
      </c>
      <c r="E212" s="157">
        <v>83415</v>
      </c>
      <c r="F212" s="157">
        <v>157304</v>
      </c>
      <c r="G212" s="157">
        <v>188731</v>
      </c>
      <c r="H212" s="157">
        <v>674397</v>
      </c>
      <c r="I212" s="157">
        <v>167474</v>
      </c>
      <c r="J212" s="157">
        <v>224045</v>
      </c>
    </row>
    <row r="213" spans="1:10" x14ac:dyDescent="0.5">
      <c r="A213" s="76" t="s">
        <v>14</v>
      </c>
      <c r="B213" s="157">
        <v>7771</v>
      </c>
      <c r="C213" s="157">
        <v>18080</v>
      </c>
      <c r="D213" s="157">
        <v>23184</v>
      </c>
      <c r="E213" s="157">
        <v>26580</v>
      </c>
      <c r="F213" s="157">
        <v>73950</v>
      </c>
      <c r="G213" s="157">
        <v>135193</v>
      </c>
      <c r="H213" s="157">
        <v>513442</v>
      </c>
      <c r="I213" s="157">
        <v>38279</v>
      </c>
      <c r="J213" s="157">
        <v>97246</v>
      </c>
    </row>
    <row r="214" spans="1:10" x14ac:dyDescent="0.5">
      <c r="A214" s="135" t="s">
        <v>50</v>
      </c>
      <c r="B214" s="156">
        <f>SUM(B216/$B$285)</f>
        <v>5.6571073803677596E-2</v>
      </c>
      <c r="C214" s="156">
        <f>SUM(C216/$C$285)</f>
        <v>4.0250148706925684E-2</v>
      </c>
      <c r="D214" s="156">
        <f>SUM(D216/$D$285)</f>
        <v>6.6153839153006974E-2</v>
      </c>
      <c r="E214" s="156">
        <f>SUM(E216/$E$285)</f>
        <v>7.1328218102803348E-2</v>
      </c>
      <c r="F214" s="156">
        <f>SUM(F216/$F$285)</f>
        <v>8.5668528319066087E-2</v>
      </c>
      <c r="G214" s="156">
        <f>SUM(G216/$G$285)</f>
        <v>0.10729128237495611</v>
      </c>
      <c r="H214" s="156">
        <f>SUM(H216/$H$285)</f>
        <v>0.10931468078064016</v>
      </c>
      <c r="I214" s="156">
        <f>SUM(I216/$I$285)</f>
        <v>8.2731246543204989E-2</v>
      </c>
      <c r="J214" s="156">
        <f>SUM(J216/$J$285)</f>
        <v>7.8992666244205534E-2</v>
      </c>
    </row>
    <row r="215" spans="1:10" x14ac:dyDescent="0.5">
      <c r="A215" s="76" t="s">
        <v>16</v>
      </c>
      <c r="B215" s="157">
        <v>88902</v>
      </c>
      <c r="C215" s="157">
        <v>216858</v>
      </c>
      <c r="D215" s="157">
        <v>432295</v>
      </c>
      <c r="E215" s="157">
        <v>770266</v>
      </c>
      <c r="F215" s="157">
        <v>1368645</v>
      </c>
      <c r="G215" s="157">
        <v>2289090</v>
      </c>
      <c r="H215" s="157">
        <v>5097189</v>
      </c>
      <c r="I215" s="157">
        <v>1698935</v>
      </c>
      <c r="J215" s="157">
        <v>1214024</v>
      </c>
    </row>
    <row r="216" spans="1:10" x14ac:dyDescent="0.5">
      <c r="A216" s="76" t="s">
        <v>15</v>
      </c>
      <c r="B216" s="157">
        <v>70800</v>
      </c>
      <c r="C216" s="157">
        <v>95275</v>
      </c>
      <c r="D216" s="157">
        <v>232601</v>
      </c>
      <c r="E216" s="157">
        <v>474338</v>
      </c>
      <c r="F216" s="157">
        <v>874654</v>
      </c>
      <c r="G216" s="157">
        <v>1882803</v>
      </c>
      <c r="H216" s="157">
        <v>3083350</v>
      </c>
      <c r="I216" s="157">
        <v>654117</v>
      </c>
      <c r="J216" s="157">
        <v>870090</v>
      </c>
    </row>
    <row r="217" spans="1:10" x14ac:dyDescent="0.5">
      <c r="A217" s="76" t="s">
        <v>14</v>
      </c>
      <c r="B217" s="157">
        <v>47012</v>
      </c>
      <c r="C217" s="157">
        <v>49637</v>
      </c>
      <c r="D217" s="157">
        <v>100931</v>
      </c>
      <c r="E217" s="157">
        <v>227817</v>
      </c>
      <c r="F217" s="157">
        <v>422060</v>
      </c>
      <c r="G217" s="157">
        <v>1173186</v>
      </c>
      <c r="H217" s="157">
        <v>1810283</v>
      </c>
      <c r="I217" s="157">
        <v>192256</v>
      </c>
      <c r="J217" s="157">
        <v>430941</v>
      </c>
    </row>
    <row r="218" spans="1:10" x14ac:dyDescent="0.5">
      <c r="A218" s="77" t="s">
        <v>76</v>
      </c>
      <c r="B218" s="156">
        <f>SUM(B220/$B$285)</f>
        <v>5.284441436553703E-2</v>
      </c>
      <c r="C218" s="156">
        <f>SUM(C220/$C$285)</f>
        <v>4.1138588095334661E-2</v>
      </c>
      <c r="D218" s="156">
        <f>SUM(D220/$D$285)</f>
        <v>7.0897498394510677E-2</v>
      </c>
      <c r="E218" s="156">
        <f>SUM(E220/$E$285)</f>
        <v>6.365101145475803E-2</v>
      </c>
      <c r="F218" s="156">
        <f>SUM(F220/$F$285)</f>
        <v>6.0236556302521505E-2</v>
      </c>
      <c r="G218" s="156">
        <f>SUM(G220/$G$285)</f>
        <v>7.6995276752145111E-2</v>
      </c>
      <c r="H218" s="156">
        <f>SUM(H220/$H$285)</f>
        <v>7.5041487356106024E-2</v>
      </c>
      <c r="I218" s="156">
        <f>SUM(I220/$I$285)</f>
        <v>6.4906104815400031E-2</v>
      </c>
      <c r="J218" s="156">
        <f>SUM(J220/$J$285)</f>
        <v>4.8783275623205828E-2</v>
      </c>
    </row>
    <row r="219" spans="1:10" x14ac:dyDescent="0.5">
      <c r="A219" s="76" t="s">
        <v>16</v>
      </c>
      <c r="B219" s="157">
        <v>108118</v>
      </c>
      <c r="C219" s="157">
        <v>186098</v>
      </c>
      <c r="D219" s="157">
        <v>451044</v>
      </c>
      <c r="E219" s="157">
        <v>559500</v>
      </c>
      <c r="F219" s="157">
        <v>1175006</v>
      </c>
      <c r="G219" s="157">
        <v>1754324</v>
      </c>
      <c r="H219" s="157">
        <v>3959170</v>
      </c>
      <c r="I219" s="157">
        <v>1258521</v>
      </c>
      <c r="J219" s="157">
        <v>790759</v>
      </c>
    </row>
    <row r="220" spans="1:10" x14ac:dyDescent="0.5">
      <c r="A220" s="76" t="s">
        <v>15</v>
      </c>
      <c r="B220" s="157">
        <v>66136</v>
      </c>
      <c r="C220" s="157">
        <v>97378</v>
      </c>
      <c r="D220" s="157">
        <v>249280</v>
      </c>
      <c r="E220" s="157">
        <v>423284</v>
      </c>
      <c r="F220" s="157">
        <v>615000</v>
      </c>
      <c r="G220" s="157">
        <v>1351153</v>
      </c>
      <c r="H220" s="157">
        <v>2116634</v>
      </c>
      <c r="I220" s="157">
        <v>513182</v>
      </c>
      <c r="J220" s="157">
        <v>537339</v>
      </c>
    </row>
    <row r="221" spans="1:10" x14ac:dyDescent="0.5">
      <c r="A221" s="76" t="s">
        <v>14</v>
      </c>
      <c r="B221" s="157">
        <v>25621</v>
      </c>
      <c r="C221" s="157">
        <v>54238</v>
      </c>
      <c r="D221" s="157">
        <v>164559</v>
      </c>
      <c r="E221" s="157">
        <v>289549</v>
      </c>
      <c r="F221" s="157">
        <v>474433</v>
      </c>
      <c r="G221" s="157">
        <v>834867</v>
      </c>
      <c r="H221" s="157">
        <v>1263460</v>
      </c>
      <c r="I221" s="157">
        <v>224608</v>
      </c>
      <c r="J221" s="157">
        <v>240502</v>
      </c>
    </row>
    <row r="222" spans="1:10" x14ac:dyDescent="0.5">
      <c r="A222" s="77" t="s">
        <v>77</v>
      </c>
      <c r="B222" s="156">
        <f>SUM(B224/$B$285)</f>
        <v>1.7978095488456865E-2</v>
      </c>
      <c r="C222" s="156">
        <f>SUM(C224/$C$285)</f>
        <v>4.4655591380405833E-2</v>
      </c>
      <c r="D222" s="156">
        <f>SUM(D224/$D$285)</f>
        <v>5.2984844977136354E-2</v>
      </c>
      <c r="E222" s="156">
        <f>SUM(E224/$E$285)</f>
        <v>5.9280835178550616E-2</v>
      </c>
      <c r="F222" s="156">
        <f>SUM(F224/$F$285)</f>
        <v>5.957571720435384E-2</v>
      </c>
      <c r="G222" s="156">
        <f>SUM(G224/$G$285)</f>
        <v>7.2234760792905708E-2</v>
      </c>
      <c r="H222" s="156">
        <f>SUM(H224/$H$285)</f>
        <v>6.7867386811346048E-2</v>
      </c>
      <c r="I222" s="156">
        <f>SUM(I224/$I$285)</f>
        <v>6.3997741613291997E-2</v>
      </c>
      <c r="J222" s="156">
        <f>SUM(J224/$J$285)</f>
        <v>6.0459635291362002E-2</v>
      </c>
    </row>
    <row r="223" spans="1:10" x14ac:dyDescent="0.5">
      <c r="A223" s="76" t="s">
        <v>16</v>
      </c>
      <c r="B223" s="157">
        <v>45756</v>
      </c>
      <c r="C223" s="157">
        <v>202970</v>
      </c>
      <c r="D223" s="157">
        <v>515991</v>
      </c>
      <c r="E223" s="157">
        <v>651714</v>
      </c>
      <c r="F223" s="157">
        <v>1070449</v>
      </c>
      <c r="G223" s="157">
        <v>1863195</v>
      </c>
      <c r="H223" s="157">
        <v>3762341</v>
      </c>
      <c r="I223" s="157">
        <v>1183740</v>
      </c>
      <c r="J223" s="157">
        <v>981894</v>
      </c>
    </row>
    <row r="224" spans="1:10" x14ac:dyDescent="0.5">
      <c r="A224" s="76" t="s">
        <v>15</v>
      </c>
      <c r="B224" s="157">
        <v>22500</v>
      </c>
      <c r="C224" s="157">
        <v>105703</v>
      </c>
      <c r="D224" s="157">
        <v>186298</v>
      </c>
      <c r="E224" s="157">
        <v>394222</v>
      </c>
      <c r="F224" s="157">
        <v>608253</v>
      </c>
      <c r="G224" s="157">
        <v>1267613</v>
      </c>
      <c r="H224" s="157">
        <v>1914280</v>
      </c>
      <c r="I224" s="157">
        <v>506000</v>
      </c>
      <c r="J224" s="157">
        <v>665952</v>
      </c>
    </row>
    <row r="225" spans="1:10" x14ac:dyDescent="0.5">
      <c r="A225" s="76" t="s">
        <v>14</v>
      </c>
      <c r="B225" s="157">
        <v>11609</v>
      </c>
      <c r="C225" s="157">
        <v>33905</v>
      </c>
      <c r="D225" s="157">
        <v>112591</v>
      </c>
      <c r="E225" s="157">
        <v>213862</v>
      </c>
      <c r="F225" s="157">
        <v>343395</v>
      </c>
      <c r="G225" s="157">
        <v>786142</v>
      </c>
      <c r="H225" s="157">
        <v>1488800</v>
      </c>
      <c r="I225" s="157">
        <v>145731</v>
      </c>
      <c r="J225" s="157">
        <v>481827</v>
      </c>
    </row>
    <row r="226" spans="1:10" x14ac:dyDescent="0.5">
      <c r="A226" s="77" t="s">
        <v>78</v>
      </c>
      <c r="B226" s="156">
        <f>SUM(B228/$B$285)</f>
        <v>4.9487704181225597E-2</v>
      </c>
      <c r="C226" s="156">
        <f>SUM(C228/$C$285)</f>
        <v>2.9352296846061294E-2</v>
      </c>
      <c r="D226" s="156">
        <f>SUM(D228/$D$285)</f>
        <v>1.6559719367860975E-2</v>
      </c>
      <c r="E226" s="156">
        <f>SUM(E228/$E$285)</f>
        <v>1.7922203884918591E-2</v>
      </c>
      <c r="F226" s="156">
        <f>SUM(F228/$F$285)</f>
        <v>1.9602542550760563E-2</v>
      </c>
      <c r="G226" s="156">
        <f>SUM(G228/$G$285)</f>
        <v>1.3916274867199612E-2</v>
      </c>
      <c r="H226" s="156">
        <f>SUM(H228/$H$285)</f>
        <v>1.7903910716883929E-2</v>
      </c>
      <c r="I226" s="156">
        <f>SUM(I228/$I$285)</f>
        <v>2.1458594536237077E-2</v>
      </c>
      <c r="J226" s="156">
        <f>SUM(J228/$J$285)</f>
        <v>2.5520979916149333E-2</v>
      </c>
    </row>
    <row r="227" spans="1:10" x14ac:dyDescent="0.5">
      <c r="A227" s="76" t="s">
        <v>16</v>
      </c>
      <c r="B227" s="157">
        <v>69913</v>
      </c>
      <c r="C227" s="157">
        <v>96145</v>
      </c>
      <c r="D227" s="157">
        <v>135883</v>
      </c>
      <c r="E227" s="157">
        <v>194463</v>
      </c>
      <c r="F227" s="157">
        <v>337324</v>
      </c>
      <c r="G227" s="157">
        <v>482152</v>
      </c>
      <c r="H227" s="157">
        <v>697362</v>
      </c>
      <c r="I227" s="157">
        <v>407360</v>
      </c>
      <c r="J227" s="157">
        <v>438550</v>
      </c>
    </row>
    <row r="228" spans="1:10" x14ac:dyDescent="0.5">
      <c r="A228" s="76" t="s">
        <v>15</v>
      </c>
      <c r="B228" s="157">
        <v>61935</v>
      </c>
      <c r="C228" s="157">
        <v>69479</v>
      </c>
      <c r="D228" s="157">
        <v>58225</v>
      </c>
      <c r="E228" s="157">
        <v>119184</v>
      </c>
      <c r="F228" s="157">
        <v>200137</v>
      </c>
      <c r="G228" s="157">
        <v>244210</v>
      </c>
      <c r="H228" s="157">
        <v>505001</v>
      </c>
      <c r="I228" s="157">
        <v>169663</v>
      </c>
      <c r="J228" s="157">
        <v>281109</v>
      </c>
    </row>
    <row r="229" spans="1:10" x14ac:dyDescent="0.5">
      <c r="A229" s="76" t="s">
        <v>14</v>
      </c>
      <c r="B229" s="157">
        <v>26812</v>
      </c>
      <c r="C229" s="157">
        <v>26923</v>
      </c>
      <c r="D229" s="157">
        <v>34712</v>
      </c>
      <c r="E229" s="157">
        <v>35192</v>
      </c>
      <c r="F229" s="157">
        <v>138192</v>
      </c>
      <c r="G229" s="157">
        <v>153493</v>
      </c>
      <c r="H229" s="157">
        <v>210899</v>
      </c>
      <c r="I229" s="157">
        <v>63521</v>
      </c>
      <c r="J229" s="157">
        <v>126410</v>
      </c>
    </row>
    <row r="230" spans="1:10" x14ac:dyDescent="0.5">
      <c r="A230" s="77" t="s">
        <v>79</v>
      </c>
      <c r="B230" s="156">
        <f>SUM(B232/$B$285)</f>
        <v>1.9114311123327336E-2</v>
      </c>
      <c r="C230" s="156">
        <f>SUM(C232/$C$285)</f>
        <v>3.3039552662529913E-2</v>
      </c>
      <c r="D230" s="156">
        <f>SUM(D232/$D$285)</f>
        <v>3.5849197198456681E-2</v>
      </c>
      <c r="E230" s="156">
        <f>SUM(E232/$E$285)</f>
        <v>2.7652319710679954E-2</v>
      </c>
      <c r="F230" s="156">
        <f>SUM(F232/$F$285)</f>
        <v>4.2281361134609896E-2</v>
      </c>
      <c r="G230" s="156">
        <f>SUM(G232/$G$285)</f>
        <v>2.3114487502591388E-2</v>
      </c>
      <c r="H230" s="156">
        <f>SUM(H232/$H$285)</f>
        <v>3.3219523775353657E-2</v>
      </c>
      <c r="I230" s="156">
        <f>SUM(I232/$I$285)</f>
        <v>3.1847856372878666E-2</v>
      </c>
      <c r="J230" s="156">
        <f>SUM(J232/$J$285)</f>
        <v>3.3311937916370854E-2</v>
      </c>
    </row>
    <row r="231" spans="1:10" x14ac:dyDescent="0.5">
      <c r="A231" s="76" t="s">
        <v>16</v>
      </c>
      <c r="B231" s="157">
        <v>46005</v>
      </c>
      <c r="C231" s="157">
        <v>116020</v>
      </c>
      <c r="D231" s="157">
        <v>288927</v>
      </c>
      <c r="E231" s="157">
        <v>383892</v>
      </c>
      <c r="F231" s="157">
        <v>660998</v>
      </c>
      <c r="G231" s="157">
        <v>764340</v>
      </c>
      <c r="H231" s="157">
        <v>1471720</v>
      </c>
      <c r="I231" s="157">
        <v>636625</v>
      </c>
      <c r="J231" s="157">
        <v>468457</v>
      </c>
    </row>
    <row r="232" spans="1:10" x14ac:dyDescent="0.5">
      <c r="A232" s="76" t="s">
        <v>15</v>
      </c>
      <c r="B232" s="157">
        <v>23922</v>
      </c>
      <c r="C232" s="157">
        <v>78207</v>
      </c>
      <c r="D232" s="157">
        <v>126048</v>
      </c>
      <c r="E232" s="157">
        <v>183890</v>
      </c>
      <c r="F232" s="157">
        <v>431682</v>
      </c>
      <c r="G232" s="157">
        <v>405625</v>
      </c>
      <c r="H232" s="157">
        <v>936996</v>
      </c>
      <c r="I232" s="157">
        <v>251806</v>
      </c>
      <c r="J232" s="157">
        <v>366925</v>
      </c>
    </row>
    <row r="233" spans="1:10" x14ac:dyDescent="0.5">
      <c r="A233" s="76" t="s">
        <v>14</v>
      </c>
      <c r="B233" s="157">
        <v>14697</v>
      </c>
      <c r="C233" s="157">
        <v>30296</v>
      </c>
      <c r="D233" s="157">
        <v>59325</v>
      </c>
      <c r="E233" s="157">
        <v>100146</v>
      </c>
      <c r="F233" s="157">
        <v>143944</v>
      </c>
      <c r="G233" s="157">
        <v>214732</v>
      </c>
      <c r="H233" s="157">
        <v>499242</v>
      </c>
      <c r="I233" s="157">
        <v>78651</v>
      </c>
      <c r="J233" s="157">
        <v>218789</v>
      </c>
    </row>
    <row r="234" spans="1:10" x14ac:dyDescent="0.5">
      <c r="A234" s="77" t="s">
        <v>80</v>
      </c>
      <c r="B234" s="156">
        <f>SUM(B236/$B$285)</f>
        <v>6.6817789205631861E-2</v>
      </c>
      <c r="C234" s="156">
        <f>SUM(C236/$C$285)</f>
        <v>7.2232699301077452E-2</v>
      </c>
      <c r="D234" s="156">
        <f>SUM(D236/$D$285)</f>
        <v>4.091082580455066E-2</v>
      </c>
      <c r="E234" s="156">
        <f>SUM(E236/$E$285)</f>
        <v>4.9023206505189793E-2</v>
      </c>
      <c r="F234" s="156">
        <f>SUM(F236/$F$285)</f>
        <v>4.9528259613093255E-2</v>
      </c>
      <c r="G234" s="156">
        <f>SUM(G236/$G$285)</f>
        <v>2.5129871365775731E-2</v>
      </c>
      <c r="H234" s="156">
        <f>SUM(H236/$H$285)</f>
        <v>2.9807186962972375E-2</v>
      </c>
      <c r="I234" s="156">
        <f>SUM(I236/$I$285)</f>
        <v>4.2151492772618683E-2</v>
      </c>
      <c r="J234" s="156">
        <f>SUM(J236/$J$285)</f>
        <v>4.2566741898642013E-2</v>
      </c>
    </row>
    <row r="235" spans="1:10" x14ac:dyDescent="0.5">
      <c r="A235" s="76" t="s">
        <v>16</v>
      </c>
      <c r="B235" s="157">
        <v>174451</v>
      </c>
      <c r="C235" s="157">
        <v>325000</v>
      </c>
      <c r="D235" s="157">
        <v>286759</v>
      </c>
      <c r="E235" s="157">
        <v>596928</v>
      </c>
      <c r="F235" s="157">
        <v>716289</v>
      </c>
      <c r="G235" s="157">
        <v>689975</v>
      </c>
      <c r="H235" s="157">
        <v>1506750</v>
      </c>
      <c r="I235" s="157">
        <v>631297</v>
      </c>
      <c r="J235" s="157">
        <v>714306</v>
      </c>
    </row>
    <row r="236" spans="1:10" x14ac:dyDescent="0.5">
      <c r="A236" s="76" t="s">
        <v>15</v>
      </c>
      <c r="B236" s="157">
        <v>83624</v>
      </c>
      <c r="C236" s="157">
        <v>170980</v>
      </c>
      <c r="D236" s="157">
        <v>143845</v>
      </c>
      <c r="E236" s="157">
        <v>326008</v>
      </c>
      <c r="F236" s="157">
        <v>505671</v>
      </c>
      <c r="G236" s="157">
        <v>440992</v>
      </c>
      <c r="H236" s="157">
        <v>840747</v>
      </c>
      <c r="I236" s="157">
        <v>333272</v>
      </c>
      <c r="J236" s="157">
        <v>468865</v>
      </c>
    </row>
    <row r="237" spans="1:10" x14ac:dyDescent="0.5">
      <c r="A237" s="76" t="s">
        <v>14</v>
      </c>
      <c r="B237" s="157">
        <v>40008</v>
      </c>
      <c r="C237" s="157">
        <v>62113</v>
      </c>
      <c r="D237" s="157">
        <v>71781</v>
      </c>
      <c r="E237" s="157">
        <v>133560</v>
      </c>
      <c r="F237" s="157">
        <v>263144</v>
      </c>
      <c r="G237" s="157">
        <v>287976</v>
      </c>
      <c r="H237" s="157">
        <v>407002</v>
      </c>
      <c r="I237" s="157">
        <v>142370</v>
      </c>
      <c r="J237" s="157">
        <v>231724</v>
      </c>
    </row>
    <row r="238" spans="1:10" x14ac:dyDescent="0.5">
      <c r="A238" s="135" t="s">
        <v>81</v>
      </c>
      <c r="B238" s="156">
        <f>SUM(B240/$B$285)</f>
        <v>0.1563646852674701</v>
      </c>
      <c r="C238" s="156">
        <f>SUM(C240/$C$285)</f>
        <v>0.1673024732665504</v>
      </c>
      <c r="D238" s="156">
        <f>SUM(D240/$D$285)</f>
        <v>0.22068382184386964</v>
      </c>
      <c r="E238" s="156">
        <f>SUM(E240/$E$285)</f>
        <v>0.19222234335702981</v>
      </c>
      <c r="F238" s="156">
        <f>SUM(F240/$F$285)</f>
        <v>0.21754143369076628</v>
      </c>
      <c r="G238" s="156">
        <f>SUM(G240/$G$285)</f>
        <v>0.22065606907660237</v>
      </c>
      <c r="H238" s="156">
        <f>SUM(H240/$H$285)</f>
        <v>0.23662279165448258</v>
      </c>
      <c r="I238" s="156">
        <f>SUM(I240/$I$285)</f>
        <v>0.20944955744802807</v>
      </c>
      <c r="J238" s="156">
        <f>SUM(J240/$J$285)</f>
        <v>0.18566277070347043</v>
      </c>
    </row>
    <row r="239" spans="1:10" x14ac:dyDescent="0.5">
      <c r="A239" s="76" t="s">
        <v>16</v>
      </c>
      <c r="B239" s="157">
        <v>422021</v>
      </c>
      <c r="C239" s="157">
        <v>659336</v>
      </c>
      <c r="D239" s="157">
        <v>1477927</v>
      </c>
      <c r="E239" s="157">
        <v>1929630</v>
      </c>
      <c r="F239" s="157">
        <v>3126379</v>
      </c>
      <c r="G239" s="157">
        <v>4892000</v>
      </c>
      <c r="H239" s="157">
        <v>11156179</v>
      </c>
      <c r="I239" s="157">
        <v>3672754</v>
      </c>
      <c r="J239" s="157">
        <v>2845870</v>
      </c>
    </row>
    <row r="240" spans="1:10" x14ac:dyDescent="0.5">
      <c r="A240" s="76" t="s">
        <v>15</v>
      </c>
      <c r="B240" s="157">
        <v>195694</v>
      </c>
      <c r="C240" s="157">
        <v>396017</v>
      </c>
      <c r="D240" s="157">
        <v>775938</v>
      </c>
      <c r="E240" s="157">
        <v>1278293</v>
      </c>
      <c r="F240" s="157">
        <v>2221043</v>
      </c>
      <c r="G240" s="157">
        <v>3872187</v>
      </c>
      <c r="H240" s="157">
        <v>6674226</v>
      </c>
      <c r="I240" s="157">
        <v>1656019</v>
      </c>
      <c r="J240" s="157">
        <v>2045042</v>
      </c>
    </row>
    <row r="241" spans="1:10" x14ac:dyDescent="0.5">
      <c r="A241" s="76" t="s">
        <v>14</v>
      </c>
      <c r="B241" s="157">
        <v>94464</v>
      </c>
      <c r="C241" s="157">
        <v>185831</v>
      </c>
      <c r="D241" s="157">
        <v>532607</v>
      </c>
      <c r="E241" s="157">
        <v>673228</v>
      </c>
      <c r="F241" s="157">
        <v>1557511</v>
      </c>
      <c r="G241" s="157">
        <v>2399413</v>
      </c>
      <c r="H241" s="157">
        <v>3960843</v>
      </c>
      <c r="I241" s="157">
        <v>578195</v>
      </c>
      <c r="J241" s="157">
        <v>1241918</v>
      </c>
    </row>
    <row r="242" spans="1:10" x14ac:dyDescent="0.5">
      <c r="A242" s="135" t="s">
        <v>82</v>
      </c>
      <c r="B242" s="156">
        <f>SUM(B244/$B$285)</f>
        <v>0.19645663723319506</v>
      </c>
      <c r="C242" s="156">
        <f>SUM(C244/$C$285)</f>
        <v>0.22610254356436982</v>
      </c>
      <c r="D242" s="156">
        <f>SUM(D244/$D$285)</f>
        <v>0.28545628603818701</v>
      </c>
      <c r="E242" s="156">
        <f>SUM(E244/$E$285)</f>
        <v>0.29307428863584245</v>
      </c>
      <c r="F242" s="156">
        <f>SUM(F244/$F$285)</f>
        <v>0.30690780094746717</v>
      </c>
      <c r="G242" s="156">
        <f>SUM(G244/$G$285)</f>
        <v>0.32838864227737063</v>
      </c>
      <c r="H242" s="156">
        <f>SUM(H244/$H$285)</f>
        <v>0.31183775160794525</v>
      </c>
      <c r="I242" s="156">
        <f>SUM(I244/$I$285)</f>
        <v>0.29246967917274447</v>
      </c>
      <c r="J242" s="156">
        <f>SUM(J244/$J$285)</f>
        <v>0.25801202380066129</v>
      </c>
    </row>
    <row r="243" spans="1:10" x14ac:dyDescent="0.5">
      <c r="A243" s="76" t="s">
        <v>16</v>
      </c>
      <c r="B243" s="157">
        <v>532476</v>
      </c>
      <c r="C243" s="157">
        <v>885257</v>
      </c>
      <c r="D243" s="157">
        <v>1923324</v>
      </c>
      <c r="E243" s="157">
        <v>2629622</v>
      </c>
      <c r="F243" s="157">
        <v>4473292</v>
      </c>
      <c r="G243" s="157">
        <v>6905487</v>
      </c>
      <c r="H243" s="157">
        <v>15784405</v>
      </c>
      <c r="I243" s="157">
        <v>5149071</v>
      </c>
      <c r="J243" s="157">
        <v>4815458</v>
      </c>
    </row>
    <row r="244" spans="1:10" x14ac:dyDescent="0.5">
      <c r="A244" s="76" t="s">
        <v>15</v>
      </c>
      <c r="B244" s="157">
        <v>245870</v>
      </c>
      <c r="C244" s="157">
        <v>535201</v>
      </c>
      <c r="D244" s="157">
        <v>1003682</v>
      </c>
      <c r="E244" s="157">
        <v>1948966</v>
      </c>
      <c r="F244" s="157">
        <v>3133451</v>
      </c>
      <c r="G244" s="157">
        <v>5762734</v>
      </c>
      <c r="H244" s="157">
        <v>8795753</v>
      </c>
      <c r="I244" s="157">
        <v>2312420</v>
      </c>
      <c r="J244" s="157">
        <v>2841956</v>
      </c>
    </row>
    <row r="245" spans="1:10" x14ac:dyDescent="0.5">
      <c r="A245" s="76" t="s">
        <v>14</v>
      </c>
      <c r="B245" s="157">
        <v>179942</v>
      </c>
      <c r="C245" s="157">
        <v>240247</v>
      </c>
      <c r="D245" s="157">
        <v>591045</v>
      </c>
      <c r="E245" s="157">
        <v>1029087</v>
      </c>
      <c r="F245" s="157">
        <v>2087450</v>
      </c>
      <c r="G245" s="157">
        <v>4108908</v>
      </c>
      <c r="H245" s="157">
        <v>5686263</v>
      </c>
      <c r="I245" s="157">
        <v>828492</v>
      </c>
      <c r="J245" s="157">
        <v>1697116</v>
      </c>
    </row>
    <row r="246" spans="1:10" x14ac:dyDescent="0.5">
      <c r="A246" s="135" t="s">
        <v>83</v>
      </c>
      <c r="B246" s="156">
        <f>SUM(B248/$B$285)</f>
        <v>0.86902837582689252</v>
      </c>
      <c r="C246" s="156">
        <f>SUM(C248/$C$285)</f>
        <v>0.93692629544010486</v>
      </c>
      <c r="D246" s="156">
        <f>SUM(D248/$D$285)</f>
        <v>0.91199614796326112</v>
      </c>
      <c r="E246" s="156">
        <f>SUM(E248/$E$285)</f>
        <v>0.93760010225448587</v>
      </c>
      <c r="F246" s="156">
        <f>SUM(F248/$F$285)</f>
        <v>0.9542889750353265</v>
      </c>
      <c r="G246" s="156">
        <f>SUM(G248/$G$285)</f>
        <v>0.94976732508124051</v>
      </c>
      <c r="H246" s="156">
        <f>SUM(H248/$H$285)</f>
        <v>0.94055732601049469</v>
      </c>
      <c r="I246" s="156">
        <f>SUM(I248/$I$285)</f>
        <v>0.92309672170936197</v>
      </c>
      <c r="J246" s="156">
        <f>SUM(J248/$J$285)</f>
        <v>0.92189686259058246</v>
      </c>
    </row>
    <row r="247" spans="1:10" x14ac:dyDescent="0.5">
      <c r="A247" s="76" t="s">
        <v>16</v>
      </c>
      <c r="B247" s="157">
        <v>1466825</v>
      </c>
      <c r="C247" s="157">
        <v>3057191</v>
      </c>
      <c r="D247" s="157">
        <v>5942814</v>
      </c>
      <c r="E247" s="157">
        <v>8121920</v>
      </c>
      <c r="F247" s="157">
        <v>14359263</v>
      </c>
      <c r="G247" s="157">
        <v>20488082</v>
      </c>
      <c r="H247" s="157">
        <v>38185154</v>
      </c>
      <c r="I247" s="157">
        <v>15978062</v>
      </c>
      <c r="J247" s="157">
        <v>14583498</v>
      </c>
    </row>
    <row r="248" spans="1:10" x14ac:dyDescent="0.5">
      <c r="A248" s="76" t="s">
        <v>15</v>
      </c>
      <c r="B248" s="157">
        <v>1087609</v>
      </c>
      <c r="C248" s="157">
        <v>2217772</v>
      </c>
      <c r="D248" s="157">
        <v>3206635</v>
      </c>
      <c r="E248" s="157">
        <v>6235111</v>
      </c>
      <c r="F248" s="157">
        <v>9743049</v>
      </c>
      <c r="G248" s="157">
        <v>16667009</v>
      </c>
      <c r="H248" s="157">
        <v>26529533</v>
      </c>
      <c r="I248" s="157">
        <v>7298491</v>
      </c>
      <c r="J248" s="157">
        <v>10154528</v>
      </c>
    </row>
    <row r="249" spans="1:10" x14ac:dyDescent="0.5">
      <c r="A249" s="76" t="s">
        <v>14</v>
      </c>
      <c r="B249" s="157">
        <v>745001</v>
      </c>
      <c r="C249" s="157">
        <v>1317493</v>
      </c>
      <c r="D249" s="157">
        <v>2284468</v>
      </c>
      <c r="E249" s="157">
        <v>3955269</v>
      </c>
      <c r="F249" s="157">
        <v>7522040</v>
      </c>
      <c r="G249" s="157">
        <v>12843475</v>
      </c>
      <c r="H249" s="157">
        <v>19351335</v>
      </c>
      <c r="I249" s="157">
        <v>2937074</v>
      </c>
      <c r="J249" s="157">
        <v>5730754</v>
      </c>
    </row>
    <row r="250" spans="1:10" x14ac:dyDescent="0.5">
      <c r="A250" s="77" t="s">
        <v>46</v>
      </c>
    </row>
    <row r="251" spans="1:10" x14ac:dyDescent="0.5">
      <c r="A251" s="76" t="s">
        <v>16</v>
      </c>
      <c r="B251" s="157">
        <v>254295</v>
      </c>
      <c r="C251" s="157">
        <v>528932</v>
      </c>
      <c r="D251" s="157">
        <v>404431</v>
      </c>
      <c r="E251" s="157">
        <v>444555</v>
      </c>
      <c r="F251" s="157">
        <v>347853</v>
      </c>
      <c r="G251" s="157">
        <v>1570157</v>
      </c>
      <c r="H251" s="157">
        <v>2057213</v>
      </c>
      <c r="I251" s="157">
        <v>768108</v>
      </c>
      <c r="J251" s="157">
        <v>2233609</v>
      </c>
    </row>
    <row r="252" spans="1:10" x14ac:dyDescent="0.5">
      <c r="A252" s="76" t="s">
        <v>15</v>
      </c>
      <c r="B252" s="157">
        <v>49514</v>
      </c>
      <c r="C252" s="157">
        <v>147352</v>
      </c>
      <c r="D252" s="157">
        <v>75513</v>
      </c>
      <c r="E252" s="157">
        <v>102409</v>
      </c>
      <c r="F252" s="157">
        <v>209416</v>
      </c>
      <c r="G252" s="157">
        <v>605734</v>
      </c>
      <c r="H252" s="157">
        <v>911394</v>
      </c>
      <c r="I252" s="157">
        <v>185575</v>
      </c>
      <c r="J252" s="157">
        <v>797318</v>
      </c>
    </row>
    <row r="253" spans="1:10" x14ac:dyDescent="0.5">
      <c r="A253" s="76" t="s">
        <v>14</v>
      </c>
      <c r="B253" s="157">
        <v>-33987</v>
      </c>
      <c r="C253" s="157">
        <v>333</v>
      </c>
      <c r="D253" s="157">
        <v>-73048</v>
      </c>
      <c r="E253" s="157">
        <v>-179616</v>
      </c>
      <c r="F253" s="157">
        <v>-126137</v>
      </c>
      <c r="G253" s="157">
        <v>-62277</v>
      </c>
      <c r="H253" s="157">
        <v>204190</v>
      </c>
      <c r="I253" s="157">
        <v>-55409</v>
      </c>
      <c r="J253" s="157">
        <v>296611</v>
      </c>
    </row>
    <row r="254" spans="1:10" x14ac:dyDescent="0.5">
      <c r="A254" s="77" t="s">
        <v>91</v>
      </c>
    </row>
    <row r="255" spans="1:10" x14ac:dyDescent="0.5">
      <c r="A255" s="76" t="s">
        <v>16</v>
      </c>
      <c r="B255" s="157">
        <v>33987</v>
      </c>
      <c r="C255" s="157">
        <v>209587</v>
      </c>
      <c r="D255" s="157">
        <v>615806</v>
      </c>
      <c r="E255" s="157">
        <v>320000</v>
      </c>
      <c r="F255" s="157">
        <v>1206170</v>
      </c>
      <c r="G255" s="157">
        <v>148221</v>
      </c>
      <c r="H255" s="157">
        <v>1515763</v>
      </c>
      <c r="I255" s="157">
        <v>511586</v>
      </c>
      <c r="J255" s="157">
        <v>88000</v>
      </c>
    </row>
    <row r="256" spans="1:10" x14ac:dyDescent="0.5">
      <c r="A256" s="76" t="s">
        <v>15</v>
      </c>
      <c r="B256" s="157">
        <v>17073</v>
      </c>
      <c r="C256" s="157">
        <v>82500</v>
      </c>
      <c r="D256" s="157">
        <v>260238</v>
      </c>
      <c r="E256" s="157">
        <v>211876</v>
      </c>
      <c r="F256" s="157">
        <v>538410</v>
      </c>
      <c r="G256" s="157">
        <v>93776</v>
      </c>
      <c r="H256" s="157">
        <v>641289</v>
      </c>
      <c r="I256" s="157">
        <v>211876</v>
      </c>
      <c r="J256" s="157">
        <v>88000</v>
      </c>
    </row>
    <row r="257" spans="1:10" x14ac:dyDescent="0.5">
      <c r="A257" s="76" t="s">
        <v>14</v>
      </c>
      <c r="B257" s="157">
        <v>159</v>
      </c>
      <c r="C257" s="157">
        <v>50681</v>
      </c>
      <c r="D257" s="157">
        <v>170408</v>
      </c>
      <c r="E257" s="157">
        <v>136368</v>
      </c>
      <c r="F257" s="157">
        <v>191316</v>
      </c>
      <c r="G257" s="157">
        <v>78615</v>
      </c>
      <c r="H257" s="157">
        <v>427497</v>
      </c>
      <c r="I257" s="157">
        <v>73804</v>
      </c>
      <c r="J257" s="157">
        <v>88000</v>
      </c>
    </row>
    <row r="258" spans="1:10" x14ac:dyDescent="0.5">
      <c r="A258" s="77" t="s">
        <v>92</v>
      </c>
    </row>
    <row r="259" spans="1:10" x14ac:dyDescent="0.5">
      <c r="A259" s="76" t="s">
        <v>85</v>
      </c>
      <c r="B259" s="159">
        <v>0.36399999999999999</v>
      </c>
      <c r="C259" s="159">
        <v>0.37200000000000005</v>
      </c>
      <c r="D259" s="159">
        <v>0.56799999999999995</v>
      </c>
      <c r="E259" s="159">
        <v>0.56100000000000005</v>
      </c>
      <c r="F259" s="159">
        <v>0.76200000000000001</v>
      </c>
      <c r="G259" s="159">
        <v>0.92900000000000005</v>
      </c>
      <c r="H259" s="159">
        <v>0.79099999999999993</v>
      </c>
      <c r="I259" s="159">
        <v>0.64599999999999991</v>
      </c>
      <c r="J259" s="159">
        <v>0.66700000000000004</v>
      </c>
    </row>
    <row r="260" spans="1:10" x14ac:dyDescent="0.5">
      <c r="A260" s="76" t="s">
        <v>86</v>
      </c>
      <c r="B260" s="159">
        <v>0.63600000000000001</v>
      </c>
      <c r="C260" s="159">
        <v>0.628</v>
      </c>
      <c r="D260" s="159">
        <v>0.43200000000000005</v>
      </c>
      <c r="E260" s="159">
        <v>0.439</v>
      </c>
      <c r="F260" s="159">
        <v>0.23800000000000002</v>
      </c>
      <c r="G260" s="159">
        <v>7.0999999999999994E-2</v>
      </c>
      <c r="H260" s="159">
        <v>0.20899999999999999</v>
      </c>
      <c r="I260" s="159">
        <v>0.35399999999999998</v>
      </c>
      <c r="J260" s="159">
        <v>0.33299999999999996</v>
      </c>
    </row>
    <row r="261" spans="1:10" x14ac:dyDescent="0.5">
      <c r="A261" s="76"/>
    </row>
    <row r="262" spans="1:10" x14ac:dyDescent="0.5">
      <c r="A262" s="77" t="s">
        <v>93</v>
      </c>
    </row>
    <row r="263" spans="1:10" x14ac:dyDescent="0.5">
      <c r="A263" s="76" t="s">
        <v>16</v>
      </c>
      <c r="B263" s="157">
        <v>1169217</v>
      </c>
      <c r="C263" s="157">
        <v>2870941</v>
      </c>
      <c r="D263" s="157">
        <v>3710069</v>
      </c>
      <c r="E263" s="157">
        <v>6104711</v>
      </c>
      <c r="F263" s="157">
        <v>10976550</v>
      </c>
      <c r="G263" s="157">
        <v>15460000</v>
      </c>
      <c r="H263" s="157">
        <v>25420000</v>
      </c>
      <c r="I263" s="157">
        <v>11406502</v>
      </c>
      <c r="J263" s="157">
        <v>12480710</v>
      </c>
    </row>
    <row r="264" spans="1:10" x14ac:dyDescent="0.5">
      <c r="A264" s="76" t="s">
        <v>15</v>
      </c>
      <c r="B264" s="157">
        <v>617391</v>
      </c>
      <c r="C264" s="157">
        <v>1411065</v>
      </c>
      <c r="D264" s="157">
        <v>1753313</v>
      </c>
      <c r="E264" s="157">
        <v>2742995</v>
      </c>
      <c r="F264" s="157">
        <v>6199442</v>
      </c>
      <c r="G264" s="157">
        <v>6822269</v>
      </c>
      <c r="H264" s="157">
        <v>13157476</v>
      </c>
      <c r="I264" s="157">
        <v>4552642</v>
      </c>
      <c r="J264" s="157">
        <v>7867891</v>
      </c>
    </row>
    <row r="265" spans="1:10" x14ac:dyDescent="0.5">
      <c r="A265" s="76" t="s">
        <v>14</v>
      </c>
      <c r="B265" s="157">
        <v>306465</v>
      </c>
      <c r="C265" s="157">
        <v>469298</v>
      </c>
      <c r="D265" s="157">
        <v>667729</v>
      </c>
      <c r="E265" s="157">
        <v>1137870</v>
      </c>
      <c r="F265" s="157">
        <v>3723453</v>
      </c>
      <c r="G265" s="157">
        <v>4292636</v>
      </c>
      <c r="H265" s="157">
        <v>7966286</v>
      </c>
      <c r="I265" s="157">
        <v>1694289</v>
      </c>
      <c r="J265" s="157">
        <v>3940220</v>
      </c>
    </row>
    <row r="266" spans="1:10" x14ac:dyDescent="0.5">
      <c r="A266" s="77" t="s">
        <v>87</v>
      </c>
      <c r="B266" s="156">
        <f>SUM(B268/$B$285)</f>
        <v>3.1930695640431696E-2</v>
      </c>
      <c r="C266" s="156">
        <f>SUM(C268/$C$285)</f>
        <v>2.3142937772911005E-2</v>
      </c>
      <c r="D266" s="156">
        <f>SUM(D268/$D$285)</f>
        <v>3.7172552702426746E-2</v>
      </c>
      <c r="E266" s="156">
        <f>SUM(E268/$E$285)</f>
        <v>3.3407142024714009E-2</v>
      </c>
      <c r="F266" s="156">
        <f>SUM(F268/$F$285)</f>
        <v>3.5507735891986351E-2</v>
      </c>
      <c r="G266" s="156">
        <f>SUM(G268/$G$285)</f>
        <v>4.1635937576039186E-2</v>
      </c>
      <c r="H266" s="156">
        <f>SUM(H268/$H$285)</f>
        <v>0.10204350932405461</v>
      </c>
      <c r="I266" s="156">
        <f>SUM(I268/$I$285)</f>
        <v>3.9738170820596497E-2</v>
      </c>
      <c r="J266" s="156">
        <f>SUM(J268/$J$285)</f>
        <v>4.4944901505426328E-2</v>
      </c>
    </row>
    <row r="267" spans="1:10" x14ac:dyDescent="0.5">
      <c r="A267" s="76" t="s">
        <v>16</v>
      </c>
      <c r="B267" s="157">
        <v>64000</v>
      </c>
      <c r="C267" s="157">
        <v>92613</v>
      </c>
      <c r="D267" s="157">
        <v>320793</v>
      </c>
      <c r="E267" s="157">
        <v>318946</v>
      </c>
      <c r="F267" s="157">
        <v>602066</v>
      </c>
      <c r="G267" s="157">
        <v>2151609</v>
      </c>
      <c r="H267" s="157">
        <v>4714339</v>
      </c>
      <c r="I267" s="157">
        <v>998176</v>
      </c>
      <c r="J267" s="157">
        <v>1110103</v>
      </c>
    </row>
    <row r="268" spans="1:10" x14ac:dyDescent="0.5">
      <c r="A268" s="76" t="s">
        <v>15</v>
      </c>
      <c r="B268" s="157">
        <v>39962</v>
      </c>
      <c r="C268" s="157">
        <v>54781</v>
      </c>
      <c r="D268" s="157">
        <v>130701</v>
      </c>
      <c r="E268" s="157">
        <v>222160</v>
      </c>
      <c r="F268" s="157">
        <v>362525</v>
      </c>
      <c r="G268" s="157">
        <v>730649</v>
      </c>
      <c r="H268" s="157">
        <v>2878258</v>
      </c>
      <c r="I268" s="157">
        <v>314191</v>
      </c>
      <c r="J268" s="157">
        <v>495060</v>
      </c>
    </row>
    <row r="269" spans="1:10" x14ac:dyDescent="0.5">
      <c r="A269" s="76" t="s">
        <v>14</v>
      </c>
      <c r="B269" s="157">
        <v>27404</v>
      </c>
      <c r="C269" s="157">
        <v>25870</v>
      </c>
      <c r="D269" s="157">
        <v>83705</v>
      </c>
      <c r="E269" s="157">
        <v>110813</v>
      </c>
      <c r="F269" s="157">
        <v>193335</v>
      </c>
      <c r="G269" s="157">
        <v>238302</v>
      </c>
      <c r="H269" s="157">
        <v>1086401</v>
      </c>
      <c r="I269" s="157">
        <v>124967</v>
      </c>
      <c r="J269" s="157">
        <v>301062</v>
      </c>
    </row>
    <row r="270" spans="1:10" x14ac:dyDescent="0.5">
      <c r="A270" s="77" t="s">
        <v>88</v>
      </c>
      <c r="B270" s="156">
        <f>SUM(B272/$B$285)</f>
        <v>9.8662989014185118E-2</v>
      </c>
      <c r="C270" s="156">
        <f>SUM(C272/$C$285)</f>
        <v>4.1950561706614757E-2</v>
      </c>
      <c r="D270" s="156">
        <f>SUM(D272/$D$285)</f>
        <v>3.8895787389414634E-2</v>
      </c>
      <c r="E270" s="156">
        <f>SUM(E272/$E$285)</f>
        <v>4.6105946173539393E-2</v>
      </c>
      <c r="F270" s="156">
        <f>SUM(F272/$F$285)</f>
        <v>3.556973546944895E-2</v>
      </c>
      <c r="G270" s="156">
        <f>SUM(G272/$G$285)</f>
        <v>3.5204055407983742E-2</v>
      </c>
      <c r="H270" s="156">
        <f>SUM(H272/$H$285)</f>
        <v>2.8473649608185211E-2</v>
      </c>
      <c r="I270" s="156">
        <f>SUM(I272/$I$285)</f>
        <v>5.0321828959332217E-2</v>
      </c>
      <c r="J270" s="156">
        <f>SUM(J272/$J$285)</f>
        <v>4.8072869098178636E-2</v>
      </c>
    </row>
    <row r="271" spans="1:10" x14ac:dyDescent="0.5">
      <c r="A271" s="76" t="s">
        <v>16</v>
      </c>
      <c r="B271" s="157">
        <v>137038</v>
      </c>
      <c r="C271" s="157">
        <v>166589</v>
      </c>
      <c r="D271" s="157">
        <v>312563</v>
      </c>
      <c r="E271" s="157">
        <v>769973</v>
      </c>
      <c r="F271" s="157">
        <v>720905</v>
      </c>
      <c r="G271" s="157">
        <v>1308217</v>
      </c>
      <c r="H271" s="157">
        <v>1887727</v>
      </c>
      <c r="I271" s="157">
        <v>868676</v>
      </c>
      <c r="J271" s="157">
        <v>848232</v>
      </c>
    </row>
    <row r="272" spans="1:10" x14ac:dyDescent="0.5">
      <c r="A272" s="76" t="s">
        <v>15</v>
      </c>
      <c r="B272" s="157">
        <v>123479</v>
      </c>
      <c r="C272" s="157">
        <v>99300</v>
      </c>
      <c r="D272" s="157">
        <v>136760</v>
      </c>
      <c r="E272" s="157">
        <v>306608</v>
      </c>
      <c r="F272" s="157">
        <v>363158</v>
      </c>
      <c r="G272" s="157">
        <v>617779</v>
      </c>
      <c r="H272" s="157">
        <v>803133</v>
      </c>
      <c r="I272" s="157">
        <v>397871</v>
      </c>
      <c r="J272" s="157">
        <v>529514</v>
      </c>
    </row>
    <row r="273" spans="1:10" x14ac:dyDescent="0.5">
      <c r="A273" s="76" t="s">
        <v>14</v>
      </c>
      <c r="B273" s="157">
        <v>56553</v>
      </c>
      <c r="C273" s="157">
        <v>36116</v>
      </c>
      <c r="D273" s="157">
        <v>98750</v>
      </c>
      <c r="E273" s="157">
        <v>148111</v>
      </c>
      <c r="F273" s="157">
        <v>267587</v>
      </c>
      <c r="G273" s="157">
        <v>464050</v>
      </c>
      <c r="H273" s="157">
        <v>500000</v>
      </c>
      <c r="I273" s="157">
        <v>169436</v>
      </c>
      <c r="J273" s="157">
        <v>306482</v>
      </c>
    </row>
    <row r="274" spans="1:10" x14ac:dyDescent="0.5">
      <c r="A274" s="77" t="s">
        <v>89</v>
      </c>
      <c r="B274" s="156">
        <f>SUM(B276/$B$285)</f>
        <v>3.2308635158922371E-2</v>
      </c>
      <c r="C274" s="156">
        <f>SUM(C276/$C$285)</f>
        <v>2.112314285328034E-2</v>
      </c>
      <c r="D274" s="156">
        <f>SUM(D276/$D$285)</f>
        <v>4.9108064647324194E-2</v>
      </c>
      <c r="E274" s="156">
        <f>SUM(E276/$E$285)</f>
        <v>1.6293951571974753E-2</v>
      </c>
      <c r="F274" s="156">
        <f>SUM(F276/$F$285)</f>
        <v>1.0141289495224514E-2</v>
      </c>
      <c r="G274" s="156">
        <f>SUM(G276/$G$285)</f>
        <v>1.5028619510775781E-2</v>
      </c>
      <c r="H274" s="156">
        <f>SUM(H276/$H$285)</f>
        <v>3.0969024381320067E-2</v>
      </c>
      <c r="I274" s="156">
        <f>SUM(I276/$I$285)</f>
        <v>2.6581449331305809E-2</v>
      </c>
      <c r="J274" s="156">
        <f>SUM(J276/$J$285)</f>
        <v>3.003026831123886E-2</v>
      </c>
    </row>
    <row r="275" spans="1:10" x14ac:dyDescent="0.5">
      <c r="A275" s="76" t="s">
        <v>16</v>
      </c>
      <c r="B275" s="157">
        <v>65447</v>
      </c>
      <c r="C275" s="157">
        <v>172667</v>
      </c>
      <c r="D275" s="157">
        <v>457689</v>
      </c>
      <c r="E275" s="157">
        <v>228712</v>
      </c>
      <c r="F275" s="157">
        <v>412993</v>
      </c>
      <c r="G275" s="157">
        <v>1068086</v>
      </c>
      <c r="H275" s="157">
        <v>1865000</v>
      </c>
      <c r="I275" s="157">
        <v>800913</v>
      </c>
      <c r="J275" s="157">
        <v>668193</v>
      </c>
    </row>
    <row r="276" spans="1:10" x14ac:dyDescent="0.5">
      <c r="A276" s="76" t="s">
        <v>15</v>
      </c>
      <c r="B276" s="157">
        <v>40435</v>
      </c>
      <c r="C276" s="157">
        <v>50000</v>
      </c>
      <c r="D276" s="157">
        <v>172667</v>
      </c>
      <c r="E276" s="157">
        <v>108356</v>
      </c>
      <c r="F276" s="157">
        <v>103540</v>
      </c>
      <c r="G276" s="157">
        <v>263730</v>
      </c>
      <c r="H276" s="157">
        <v>873518</v>
      </c>
      <c r="I276" s="157">
        <v>210167</v>
      </c>
      <c r="J276" s="157">
        <v>330778</v>
      </c>
    </row>
    <row r="277" spans="1:10" x14ac:dyDescent="0.5">
      <c r="A277" s="76" t="s">
        <v>14</v>
      </c>
      <c r="B277" s="157">
        <v>27893</v>
      </c>
      <c r="C277" s="157">
        <v>30000</v>
      </c>
      <c r="D277" s="157">
        <v>100000</v>
      </c>
      <c r="E277" s="157">
        <v>38944</v>
      </c>
      <c r="F277" s="157">
        <v>55000</v>
      </c>
      <c r="G277" s="157">
        <v>135000</v>
      </c>
      <c r="H277" s="157">
        <v>627000</v>
      </c>
      <c r="I277" s="157">
        <v>78681</v>
      </c>
      <c r="J277" s="157">
        <v>145000</v>
      </c>
    </row>
    <row r="278" spans="1:10" x14ac:dyDescent="0.5">
      <c r="A278" s="155" t="s">
        <v>90</v>
      </c>
    </row>
    <row r="279" spans="1:10" x14ac:dyDescent="0.5">
      <c r="A279" s="76" t="s">
        <v>16</v>
      </c>
      <c r="B279" s="157">
        <v>185831</v>
      </c>
      <c r="C279" s="157">
        <v>217741</v>
      </c>
      <c r="D279" s="157">
        <v>653734</v>
      </c>
      <c r="E279" s="157">
        <v>522425</v>
      </c>
      <c r="F279" s="157">
        <v>922717</v>
      </c>
      <c r="G279" s="157">
        <v>1454826</v>
      </c>
      <c r="H279" s="157">
        <v>4267187</v>
      </c>
      <c r="I279" s="157">
        <v>1210315</v>
      </c>
      <c r="J279" s="157">
        <v>1310742</v>
      </c>
    </row>
    <row r="280" spans="1:10" x14ac:dyDescent="0.5">
      <c r="A280" s="76" t="s">
        <v>15</v>
      </c>
      <c r="B280" s="157">
        <v>103309</v>
      </c>
      <c r="C280" s="157">
        <v>148903</v>
      </c>
      <c r="D280" s="157">
        <v>202539</v>
      </c>
      <c r="E280" s="157">
        <v>273257</v>
      </c>
      <c r="F280" s="157">
        <v>496681</v>
      </c>
      <c r="G280" s="157">
        <v>748505</v>
      </c>
      <c r="H280" s="157">
        <v>1950000</v>
      </c>
      <c r="I280" s="157">
        <v>463103</v>
      </c>
      <c r="J280" s="157">
        <v>641256</v>
      </c>
    </row>
    <row r="281" spans="1:10" x14ac:dyDescent="0.5">
      <c r="A281" s="76" t="s">
        <v>14</v>
      </c>
      <c r="B281" s="157">
        <v>20786</v>
      </c>
      <c r="C281" s="157">
        <v>75000</v>
      </c>
      <c r="D281" s="157">
        <v>120258</v>
      </c>
      <c r="E281" s="157">
        <v>120375</v>
      </c>
      <c r="F281" s="157">
        <v>231175</v>
      </c>
      <c r="G281" s="157">
        <v>331731</v>
      </c>
      <c r="H281" s="157">
        <v>935463</v>
      </c>
      <c r="I281" s="157">
        <v>186926</v>
      </c>
      <c r="J281" s="157">
        <v>397018</v>
      </c>
    </row>
    <row r="283" spans="1:10" x14ac:dyDescent="0.5">
      <c r="A283" s="76" t="s">
        <v>165</v>
      </c>
    </row>
    <row r="284" spans="1:10" x14ac:dyDescent="0.5">
      <c r="A284" s="76" t="s">
        <v>16</v>
      </c>
      <c r="B284" s="153">
        <f>SUM(B247,B271,B275)</f>
        <v>1669310</v>
      </c>
      <c r="C284" s="153">
        <f t="shared" ref="C284:I284" si="29">SUM(C247,C271,C275)</f>
        <v>3396447</v>
      </c>
      <c r="D284" s="153">
        <f t="shared" si="29"/>
        <v>6713066</v>
      </c>
      <c r="E284" s="153">
        <f t="shared" si="29"/>
        <v>9120605</v>
      </c>
      <c r="F284" s="153">
        <f t="shared" si="29"/>
        <v>15493161</v>
      </c>
      <c r="G284" s="153">
        <f t="shared" si="29"/>
        <v>22864385</v>
      </c>
      <c r="H284" s="153">
        <f t="shared" si="29"/>
        <v>41937881</v>
      </c>
      <c r="I284" s="153">
        <f t="shared" si="29"/>
        <v>17647651</v>
      </c>
      <c r="J284" s="153">
        <f t="shared" ref="J284" si="30">SUM(J247,J271,J275)</f>
        <v>16099923</v>
      </c>
    </row>
    <row r="285" spans="1:10" x14ac:dyDescent="0.5">
      <c r="A285" s="160" t="s">
        <v>15</v>
      </c>
      <c r="B285" s="161">
        <f>SUM(B248,B272,B276)</f>
        <v>1251523</v>
      </c>
      <c r="C285" s="161">
        <f t="shared" ref="C285:I285" si="31">SUM(C248,C272,C276)</f>
        <v>2367072</v>
      </c>
      <c r="D285" s="161">
        <f t="shared" si="31"/>
        <v>3516062</v>
      </c>
      <c r="E285" s="161">
        <f t="shared" si="31"/>
        <v>6650075</v>
      </c>
      <c r="F285" s="161">
        <f t="shared" si="31"/>
        <v>10209747</v>
      </c>
      <c r="G285" s="161">
        <f t="shared" si="31"/>
        <v>17548518</v>
      </c>
      <c r="H285" s="161">
        <f t="shared" si="31"/>
        <v>28206184</v>
      </c>
      <c r="I285" s="161">
        <f t="shared" si="31"/>
        <v>7906529</v>
      </c>
      <c r="J285" s="161">
        <f t="shared" ref="J285" si="32">SUM(J248,J272,J276)</f>
        <v>11014820</v>
      </c>
    </row>
    <row r="286" spans="1:10" x14ac:dyDescent="0.5">
      <c r="A286" s="76" t="s">
        <v>14</v>
      </c>
      <c r="B286" s="153">
        <f>SUM(B249,B273,B277)</f>
        <v>829447</v>
      </c>
      <c r="C286" s="153">
        <f t="shared" ref="C286:I286" si="33">SUM(C249,C273,C277)</f>
        <v>1383609</v>
      </c>
      <c r="D286" s="153">
        <f t="shared" si="33"/>
        <v>2483218</v>
      </c>
      <c r="E286" s="153">
        <f t="shared" si="33"/>
        <v>4142324</v>
      </c>
      <c r="F286" s="153">
        <f t="shared" si="33"/>
        <v>7844627</v>
      </c>
      <c r="G286" s="153">
        <f t="shared" si="33"/>
        <v>13442525</v>
      </c>
      <c r="H286" s="153">
        <f t="shared" si="33"/>
        <v>20478335</v>
      </c>
      <c r="I286" s="153">
        <f t="shared" si="33"/>
        <v>3185191</v>
      </c>
      <c r="J286" s="153">
        <f t="shared" ref="J286" si="34">SUM(J249,J273,J277)</f>
        <v>6182236</v>
      </c>
    </row>
  </sheetData>
  <sheetProtection sheet="1" selectLockedCells="1"/>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Revenues</vt:lpstr>
      <vt:lpstr>BenchmarkExpenses</vt:lpstr>
      <vt:lpstr>Enrollment forecasting</vt:lpstr>
      <vt:lpstr>Charts</vt:lpstr>
    </vt:vector>
  </TitlesOfParts>
  <Company>SAIS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Damian Kavanagh</dc:creator>
  <cp:lastModifiedBy>MISBO_Kavanagh</cp:lastModifiedBy>
  <dcterms:created xsi:type="dcterms:W3CDTF">2014-11-14T13:47:36Z</dcterms:created>
  <dcterms:modified xsi:type="dcterms:W3CDTF">2018-11-08T21:06:57Z</dcterms:modified>
</cp:coreProperties>
</file>